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010" windowHeight="8025" tabRatio="823" activeTab="1"/>
  </bookViews>
  <sheets>
    <sheet name="2017 HRP Target" sheetId="2" r:id="rId1"/>
    <sheet name="Summary Since Jan.17" sheetId="4" r:id="rId2"/>
    <sheet name="Jan.17" sheetId="12" r:id="rId3"/>
    <sheet name="Feb.17" sheetId="13" r:id="rId4"/>
    <sheet name="Mar.17" sheetId="14" r:id="rId5"/>
    <sheet name="Apr.17" sheetId="15" r:id="rId6"/>
    <sheet name="May.17" sheetId="16" r:id="rId7"/>
    <sheet name="Jun.17" sheetId="17" r:id="rId8"/>
    <sheet name="Jul.17" sheetId="19" r:id="rId9"/>
    <sheet name="PMR May.17" sheetId="11" r:id="rId10"/>
    <sheet name="PMR Jun.17" sheetId="18" r:id="rId11"/>
    <sheet name="PMR Jul.17" sheetId="20" r:id="rId12"/>
  </sheets>
  <calcPr calcId="145621"/>
</workbook>
</file>

<file path=xl/calcChain.xml><?xml version="1.0" encoding="utf-8"?>
<calcChain xmlns="http://schemas.openxmlformats.org/spreadsheetml/2006/main">
  <c r="G4" i="4" l="1"/>
  <c r="H4" i="4"/>
  <c r="I4" i="4"/>
  <c r="J4" i="4"/>
  <c r="K4" i="4"/>
  <c r="L4" i="4"/>
  <c r="G5" i="4"/>
  <c r="H5" i="4"/>
  <c r="I5" i="4"/>
  <c r="J5" i="4"/>
  <c r="K5" i="4"/>
  <c r="L5" i="4"/>
  <c r="G6" i="4"/>
  <c r="H6" i="4"/>
  <c r="I6" i="4"/>
  <c r="J6" i="4"/>
  <c r="K6" i="4"/>
  <c r="L6" i="4"/>
  <c r="G7" i="4"/>
  <c r="H7" i="4"/>
  <c r="I7" i="4"/>
  <c r="J7" i="4"/>
  <c r="K7" i="4"/>
  <c r="L7" i="4"/>
  <c r="G8" i="4"/>
  <c r="H8" i="4"/>
  <c r="I8" i="4"/>
  <c r="J8" i="4"/>
  <c r="K8" i="4"/>
  <c r="L8" i="4"/>
  <c r="G9" i="4"/>
  <c r="H9" i="4"/>
  <c r="I9" i="4"/>
  <c r="J9" i="4"/>
  <c r="K9" i="4"/>
  <c r="L9" i="4"/>
  <c r="G10" i="4"/>
  <c r="H10" i="4"/>
  <c r="I10" i="4"/>
  <c r="J10" i="4"/>
  <c r="K10" i="4"/>
  <c r="L10" i="4"/>
  <c r="G11" i="4"/>
  <c r="H11" i="4"/>
  <c r="I11" i="4"/>
  <c r="J11" i="4"/>
  <c r="K11" i="4"/>
  <c r="L11" i="4"/>
  <c r="G12" i="4"/>
  <c r="H12" i="4"/>
  <c r="I12" i="4"/>
  <c r="J12" i="4"/>
  <c r="K12" i="4"/>
  <c r="L12" i="4"/>
  <c r="G13" i="4"/>
  <c r="H13" i="4"/>
  <c r="I13" i="4"/>
  <c r="J13" i="4"/>
  <c r="K13" i="4"/>
  <c r="L13" i="4"/>
  <c r="G14" i="4"/>
  <c r="H14" i="4"/>
  <c r="I14" i="4"/>
  <c r="J14" i="4"/>
  <c r="K14" i="4"/>
  <c r="L14" i="4"/>
  <c r="G15" i="4"/>
  <c r="H15" i="4"/>
  <c r="I15" i="4"/>
  <c r="J15" i="4"/>
  <c r="K15" i="4"/>
  <c r="L15" i="4"/>
  <c r="G16" i="4"/>
  <c r="H16" i="4"/>
  <c r="I16" i="4"/>
  <c r="J16" i="4"/>
  <c r="K16" i="4"/>
  <c r="L16" i="4"/>
  <c r="G17" i="4"/>
  <c r="H17" i="4"/>
  <c r="I17" i="4"/>
  <c r="J17" i="4"/>
  <c r="K17" i="4"/>
  <c r="L17" i="4"/>
  <c r="G18" i="4"/>
  <c r="H18" i="4"/>
  <c r="I18" i="4"/>
  <c r="J18" i="4"/>
  <c r="K18" i="4"/>
  <c r="L18" i="4"/>
  <c r="G19" i="4"/>
  <c r="H19" i="4"/>
  <c r="I19" i="4"/>
  <c r="J19" i="4"/>
  <c r="K19" i="4"/>
  <c r="L19" i="4"/>
  <c r="G20" i="4"/>
  <c r="H20" i="4"/>
  <c r="I20" i="4"/>
  <c r="J20" i="4"/>
  <c r="K20" i="4"/>
  <c r="L20" i="4"/>
  <c r="H3" i="4"/>
  <c r="I3" i="4"/>
  <c r="J3" i="4"/>
  <c r="K3" i="4"/>
  <c r="L3" i="4"/>
  <c r="G3" i="4"/>
  <c r="F15" i="19"/>
  <c r="E3" i="19"/>
  <c r="J30" i="20"/>
  <c r="K30" i="20" s="1"/>
  <c r="J23" i="20"/>
  <c r="K23" i="20" s="1"/>
  <c r="J21" i="20"/>
  <c r="K21" i="20" s="1"/>
  <c r="J19" i="20"/>
  <c r="K19" i="20" s="1"/>
  <c r="J17" i="20"/>
  <c r="K17" i="20" s="1"/>
  <c r="J10" i="20"/>
  <c r="K10" i="20" s="1"/>
  <c r="J8" i="20"/>
  <c r="K8" i="20" s="1"/>
  <c r="D59" i="19"/>
  <c r="D60" i="19" s="1"/>
  <c r="C59" i="19"/>
  <c r="C60" i="19" s="1"/>
  <c r="D53" i="19"/>
  <c r="D54" i="19" s="1"/>
  <c r="C53" i="19"/>
  <c r="C54" i="19" s="1"/>
  <c r="C31" i="19"/>
  <c r="D30" i="19"/>
  <c r="D31" i="19" s="1"/>
  <c r="C30" i="19"/>
  <c r="K21" i="19"/>
  <c r="K22" i="19" s="1"/>
  <c r="J21" i="19"/>
  <c r="J22" i="19" s="1"/>
  <c r="I21" i="19"/>
  <c r="I22" i="19" s="1"/>
  <c r="H21" i="19"/>
  <c r="H22" i="19" s="1"/>
  <c r="D21" i="19"/>
  <c r="D22" i="19" s="1"/>
  <c r="C21" i="19"/>
  <c r="C22" i="19" s="1"/>
  <c r="F20" i="19"/>
  <c r="E20" i="19"/>
  <c r="F19" i="19"/>
  <c r="E19" i="19"/>
  <c r="F18" i="19"/>
  <c r="E18" i="19"/>
  <c r="F17" i="19"/>
  <c r="E17" i="19"/>
  <c r="F16" i="19"/>
  <c r="E16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L21" i="19"/>
  <c r="L22" i="19" s="1"/>
  <c r="F5" i="19"/>
  <c r="E5" i="19"/>
  <c r="F4" i="19"/>
  <c r="E4" i="19"/>
  <c r="F3" i="19"/>
  <c r="G21" i="19" l="1"/>
  <c r="G22" i="19" s="1"/>
  <c r="E21" i="19"/>
  <c r="E22" i="19" s="1"/>
  <c r="D37" i="19"/>
  <c r="D27" i="19"/>
  <c r="D28" i="19"/>
  <c r="D46" i="19"/>
  <c r="D29" i="19"/>
  <c r="D42" i="19"/>
  <c r="D38" i="19"/>
  <c r="D50" i="19"/>
  <c r="D41" i="19"/>
  <c r="F22" i="19"/>
  <c r="F21" i="19"/>
  <c r="F23" i="19" s="1"/>
  <c r="D45" i="19"/>
  <c r="D49" i="19"/>
  <c r="D35" i="19"/>
  <c r="D39" i="19"/>
  <c r="D43" i="19"/>
  <c r="D47" i="19"/>
  <c r="D51" i="19"/>
  <c r="D36" i="19"/>
  <c r="D40" i="19"/>
  <c r="D44" i="19"/>
  <c r="D48" i="19"/>
  <c r="D52" i="19"/>
  <c r="F23" i="17"/>
  <c r="E23" i="17"/>
  <c r="F23" i="16"/>
  <c r="E23" i="16"/>
  <c r="F23" i="15"/>
  <c r="E23" i="15"/>
  <c r="F23" i="14"/>
  <c r="E23" i="14"/>
  <c r="F23" i="13"/>
  <c r="E23" i="13"/>
  <c r="F23" i="12"/>
  <c r="E23" i="12"/>
  <c r="E23" i="19" l="1"/>
  <c r="J30" i="18"/>
  <c r="K30" i="18" s="1"/>
  <c r="J23" i="18"/>
  <c r="K23" i="18" s="1"/>
  <c r="J21" i="18"/>
  <c r="K21" i="18" s="1"/>
  <c r="J19" i="18"/>
  <c r="K19" i="18" s="1"/>
  <c r="J17" i="18"/>
  <c r="K17" i="18" s="1"/>
  <c r="J10" i="18"/>
  <c r="K10" i="18" s="1"/>
  <c r="J8" i="18"/>
  <c r="K8" i="18" s="1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3" i="17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E4" i="16"/>
  <c r="E5" i="16"/>
  <c r="E6" i="16"/>
  <c r="E21" i="16" s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3" i="16"/>
  <c r="F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3" i="15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3" i="14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3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3" i="12"/>
  <c r="L21" i="4"/>
  <c r="L22" i="4" s="1"/>
  <c r="L21" i="17"/>
  <c r="L22" i="17" s="1"/>
  <c r="L15" i="17"/>
  <c r="L9" i="17"/>
  <c r="L5" i="17"/>
  <c r="L17" i="16"/>
  <c r="L9" i="16"/>
  <c r="L5" i="16"/>
  <c r="L4" i="16"/>
  <c r="L3" i="16"/>
  <c r="L21" i="15"/>
  <c r="L22" i="15"/>
  <c r="L21" i="14"/>
  <c r="L22" i="14" s="1"/>
  <c r="L17" i="14"/>
  <c r="L14" i="14"/>
  <c r="L11" i="14"/>
  <c r="L10" i="14"/>
  <c r="L8" i="14"/>
  <c r="L5" i="14"/>
  <c r="L21" i="13"/>
  <c r="L22" i="13" s="1"/>
  <c r="L21" i="12"/>
  <c r="L22" i="12" s="1"/>
  <c r="J21" i="17"/>
  <c r="J22" i="17" s="1"/>
  <c r="I21" i="17"/>
  <c r="I22" i="17" s="1"/>
  <c r="J21" i="15"/>
  <c r="J22" i="15" s="1"/>
  <c r="J21" i="14"/>
  <c r="J22" i="14" s="1"/>
  <c r="J21" i="13"/>
  <c r="J22" i="13" s="1"/>
  <c r="J21" i="12"/>
  <c r="J22" i="12" s="1"/>
  <c r="E7" i="4"/>
  <c r="F7" i="4"/>
  <c r="E9" i="4"/>
  <c r="E11" i="4"/>
  <c r="F11" i="4"/>
  <c r="E13" i="4"/>
  <c r="E15" i="4"/>
  <c r="F15" i="4"/>
  <c r="E17" i="4"/>
  <c r="E19" i="4"/>
  <c r="F19" i="4"/>
  <c r="H21" i="17"/>
  <c r="H22" i="17" s="1"/>
  <c r="H21" i="16"/>
  <c r="H22" i="16" s="1"/>
  <c r="H21" i="15"/>
  <c r="H22" i="15" s="1"/>
  <c r="H21" i="14"/>
  <c r="H22" i="14" s="1"/>
  <c r="H21" i="13"/>
  <c r="H22" i="13" s="1"/>
  <c r="H21" i="12"/>
  <c r="H22" i="12" s="1"/>
  <c r="D59" i="17"/>
  <c r="D60" i="17" s="1"/>
  <c r="C59" i="17"/>
  <c r="C60" i="17" s="1"/>
  <c r="D53" i="17"/>
  <c r="D54" i="17" s="1"/>
  <c r="C53" i="17"/>
  <c r="C54" i="17" s="1"/>
  <c r="C31" i="17"/>
  <c r="D30" i="17"/>
  <c r="D28" i="17" s="1"/>
  <c r="C30" i="17"/>
  <c r="K21" i="17"/>
  <c r="K22" i="17" s="1"/>
  <c r="E21" i="17"/>
  <c r="D21" i="17"/>
  <c r="D22" i="17" s="1"/>
  <c r="C21" i="17"/>
  <c r="C22" i="17" s="1"/>
  <c r="D60" i="16"/>
  <c r="D59" i="16"/>
  <c r="C59" i="16"/>
  <c r="C60" i="16" s="1"/>
  <c r="D53" i="16"/>
  <c r="D51" i="16" s="1"/>
  <c r="C53" i="16"/>
  <c r="C54" i="16" s="1"/>
  <c r="C31" i="16"/>
  <c r="D30" i="16"/>
  <c r="D29" i="16" s="1"/>
  <c r="C30" i="16"/>
  <c r="K21" i="16"/>
  <c r="K22" i="16" s="1"/>
  <c r="I21" i="16"/>
  <c r="I22" i="16" s="1"/>
  <c r="G21" i="16"/>
  <c r="G22" i="16" s="1"/>
  <c r="D21" i="16"/>
  <c r="D22" i="16" s="1"/>
  <c r="C21" i="16"/>
  <c r="C22" i="16" s="1"/>
  <c r="D60" i="15"/>
  <c r="D59" i="15"/>
  <c r="C59" i="15"/>
  <c r="C60" i="15" s="1"/>
  <c r="D53" i="15"/>
  <c r="D51" i="15" s="1"/>
  <c r="C53" i="15"/>
  <c r="C54" i="15" s="1"/>
  <c r="D46" i="15"/>
  <c r="D42" i="15"/>
  <c r="C31" i="15"/>
  <c r="D30" i="15"/>
  <c r="D31" i="15" s="1"/>
  <c r="C30" i="15"/>
  <c r="K21" i="15"/>
  <c r="K22" i="15" s="1"/>
  <c r="I21" i="15"/>
  <c r="I22" i="15" s="1"/>
  <c r="G21" i="15"/>
  <c r="G22" i="15" s="1"/>
  <c r="D21" i="15"/>
  <c r="D22" i="15" s="1"/>
  <c r="C21" i="15"/>
  <c r="C22" i="15" s="1"/>
  <c r="C60" i="14"/>
  <c r="D59" i="14"/>
  <c r="D60" i="14" s="1"/>
  <c r="C59" i="14"/>
  <c r="C54" i="14"/>
  <c r="D53" i="14"/>
  <c r="D54" i="14" s="1"/>
  <c r="C53" i="14"/>
  <c r="D30" i="14"/>
  <c r="D31" i="14" s="1"/>
  <c r="C30" i="14"/>
  <c r="C31" i="14" s="1"/>
  <c r="K21" i="14"/>
  <c r="K22" i="14" s="1"/>
  <c r="I21" i="14"/>
  <c r="I22" i="14" s="1"/>
  <c r="G21" i="14"/>
  <c r="G22" i="14" s="1"/>
  <c r="E21" i="14"/>
  <c r="D21" i="14"/>
  <c r="D22" i="14" s="1"/>
  <c r="C21" i="14"/>
  <c r="C22" i="14" s="1"/>
  <c r="D59" i="13"/>
  <c r="D60" i="13" s="1"/>
  <c r="C59" i="13"/>
  <c r="C60" i="13" s="1"/>
  <c r="D53" i="13"/>
  <c r="D54" i="13" s="1"/>
  <c r="C53" i="13"/>
  <c r="C54" i="13" s="1"/>
  <c r="C31" i="13"/>
  <c r="D30" i="13"/>
  <c r="D31" i="13" s="1"/>
  <c r="C30" i="13"/>
  <c r="K21" i="13"/>
  <c r="K22" i="13" s="1"/>
  <c r="I21" i="13"/>
  <c r="I22" i="13" s="1"/>
  <c r="G21" i="13"/>
  <c r="G22" i="13" s="1"/>
  <c r="E21" i="13"/>
  <c r="D21" i="13"/>
  <c r="D22" i="13" s="1"/>
  <c r="C21" i="13"/>
  <c r="C22" i="13" s="1"/>
  <c r="D59" i="12"/>
  <c r="D60" i="12" s="1"/>
  <c r="C59" i="12"/>
  <c r="C60" i="12" s="1"/>
  <c r="D53" i="12"/>
  <c r="D54" i="12" s="1"/>
  <c r="C53" i="12"/>
  <c r="C54" i="12" s="1"/>
  <c r="C31" i="12"/>
  <c r="D30" i="12"/>
  <c r="D27" i="12" s="1"/>
  <c r="C30" i="12"/>
  <c r="G22" i="12"/>
  <c r="K21" i="12"/>
  <c r="K22" i="12" s="1"/>
  <c r="I21" i="12"/>
  <c r="I22" i="12" s="1"/>
  <c r="G21" i="12"/>
  <c r="E21" i="12"/>
  <c r="D21" i="12"/>
  <c r="D22" i="12" s="1"/>
  <c r="C21" i="12"/>
  <c r="C22" i="12" s="1"/>
  <c r="D46" i="12" l="1"/>
  <c r="D42" i="17"/>
  <c r="D38" i="12"/>
  <c r="D38" i="15"/>
  <c r="D48" i="15"/>
  <c r="D54" i="15"/>
  <c r="D40" i="16"/>
  <c r="D41" i="13"/>
  <c r="D40" i="15"/>
  <c r="D50" i="15"/>
  <c r="D48" i="16"/>
  <c r="E22" i="17"/>
  <c r="E22" i="16"/>
  <c r="E20" i="4"/>
  <c r="E16" i="4"/>
  <c r="E14" i="4"/>
  <c r="E12" i="4"/>
  <c r="E10" i="4"/>
  <c r="E8" i="4"/>
  <c r="E6" i="4"/>
  <c r="E4" i="4"/>
  <c r="E18" i="4"/>
  <c r="E5" i="4"/>
  <c r="E22" i="14"/>
  <c r="E22" i="13"/>
  <c r="E3" i="4"/>
  <c r="E22" i="12"/>
  <c r="E21" i="15"/>
  <c r="D40" i="12"/>
  <c r="D48" i="12"/>
  <c r="D28" i="13"/>
  <c r="D45" i="13"/>
  <c r="D29" i="14"/>
  <c r="D27" i="15"/>
  <c r="D36" i="15"/>
  <c r="D44" i="15"/>
  <c r="D52" i="15"/>
  <c r="D42" i="16"/>
  <c r="D50" i="16"/>
  <c r="D54" i="16"/>
  <c r="D27" i="17"/>
  <c r="D46" i="17"/>
  <c r="D50" i="12"/>
  <c r="D49" i="13"/>
  <c r="D52" i="16"/>
  <c r="D29" i="17"/>
  <c r="D31" i="17"/>
  <c r="D50" i="17"/>
  <c r="D42" i="12"/>
  <c r="D29" i="13"/>
  <c r="D36" i="16"/>
  <c r="D44" i="16"/>
  <c r="D36" i="12"/>
  <c r="D44" i="12"/>
  <c r="D27" i="13"/>
  <c r="D37" i="13"/>
  <c r="D38" i="16"/>
  <c r="D46" i="16"/>
  <c r="D38" i="17"/>
  <c r="F20" i="4"/>
  <c r="F16" i="4"/>
  <c r="F12" i="4"/>
  <c r="F8" i="4"/>
  <c r="F6" i="4"/>
  <c r="F18" i="4"/>
  <c r="F14" i="4"/>
  <c r="F10" i="4"/>
  <c r="F4" i="4"/>
  <c r="H21" i="4"/>
  <c r="H22" i="4" s="1"/>
  <c r="J21" i="4"/>
  <c r="J22" i="4" s="1"/>
  <c r="F17" i="4"/>
  <c r="F13" i="4"/>
  <c r="F9" i="4"/>
  <c r="F5" i="4"/>
  <c r="F3" i="4"/>
  <c r="L21" i="16"/>
  <c r="L22" i="16" s="1"/>
  <c r="J21" i="16"/>
  <c r="J22" i="16" s="1"/>
  <c r="G21" i="17"/>
  <c r="G22" i="17" s="1"/>
  <c r="D37" i="17"/>
  <c r="D41" i="17"/>
  <c r="D45" i="17"/>
  <c r="D49" i="17"/>
  <c r="D35" i="17"/>
  <c r="D39" i="17"/>
  <c r="D43" i="17"/>
  <c r="D47" i="17"/>
  <c r="D51" i="17"/>
  <c r="D36" i="17"/>
  <c r="D40" i="17"/>
  <c r="D44" i="17"/>
  <c r="D48" i="17"/>
  <c r="D52" i="17"/>
  <c r="D27" i="16"/>
  <c r="D28" i="16"/>
  <c r="D37" i="16"/>
  <c r="D41" i="16"/>
  <c r="D45" i="16"/>
  <c r="D49" i="16"/>
  <c r="D31" i="16"/>
  <c r="D35" i="16"/>
  <c r="D39" i="16"/>
  <c r="D43" i="16"/>
  <c r="D47" i="16"/>
  <c r="D28" i="15"/>
  <c r="D37" i="15"/>
  <c r="D41" i="15"/>
  <c r="D45" i="15"/>
  <c r="D49" i="15"/>
  <c r="D29" i="15"/>
  <c r="D35" i="15"/>
  <c r="D39" i="15"/>
  <c r="D43" i="15"/>
  <c r="D47" i="15"/>
  <c r="D27" i="14"/>
  <c r="D28" i="14"/>
  <c r="D37" i="14"/>
  <c r="D41" i="14"/>
  <c r="D45" i="14"/>
  <c r="D49" i="14"/>
  <c r="D38" i="14"/>
  <c r="D42" i="14"/>
  <c r="D46" i="14"/>
  <c r="D50" i="14"/>
  <c r="D35" i="14"/>
  <c r="D39" i="14"/>
  <c r="D43" i="14"/>
  <c r="D47" i="14"/>
  <c r="D51" i="14"/>
  <c r="D36" i="14"/>
  <c r="D40" i="14"/>
  <c r="D44" i="14"/>
  <c r="D48" i="14"/>
  <c r="D52" i="14"/>
  <c r="D38" i="13"/>
  <c r="D42" i="13"/>
  <c r="D46" i="13"/>
  <c r="D50" i="13"/>
  <c r="D35" i="13"/>
  <c r="D39" i="13"/>
  <c r="D43" i="13"/>
  <c r="D47" i="13"/>
  <c r="D51" i="13"/>
  <c r="D36" i="13"/>
  <c r="D40" i="13"/>
  <c r="D44" i="13"/>
  <c r="D48" i="13"/>
  <c r="D52" i="13"/>
  <c r="D28" i="12"/>
  <c r="D37" i="12"/>
  <c r="D41" i="12"/>
  <c r="D45" i="12"/>
  <c r="D49" i="12"/>
  <c r="D29" i="12"/>
  <c r="D31" i="12"/>
  <c r="D35" i="12"/>
  <c r="D39" i="12"/>
  <c r="D43" i="12"/>
  <c r="D47" i="12"/>
  <c r="D51" i="12"/>
  <c r="D52" i="12"/>
  <c r="E22" i="15" l="1"/>
  <c r="F22" i="4"/>
  <c r="F21" i="4"/>
  <c r="F23" i="4" s="1"/>
  <c r="J30" i="11"/>
  <c r="K30" i="11" s="1"/>
  <c r="J23" i="11"/>
  <c r="K23" i="11" s="1"/>
  <c r="J21" i="11"/>
  <c r="K21" i="11" s="1"/>
  <c r="J19" i="11"/>
  <c r="K19" i="11" s="1"/>
  <c r="J17" i="11"/>
  <c r="J10" i="11"/>
  <c r="K10" i="11" s="1"/>
  <c r="J8" i="11"/>
  <c r="K8" i="11" s="1"/>
  <c r="K17" i="11"/>
  <c r="C21" i="2" l="1"/>
  <c r="C22" i="2" s="1"/>
  <c r="B21" i="2"/>
  <c r="B22" i="2" s="1"/>
  <c r="D21" i="2" l="1"/>
  <c r="D22" i="2" s="1"/>
  <c r="K21" i="4"/>
  <c r="K22" i="4" s="1"/>
  <c r="I21" i="4"/>
  <c r="I22" i="4" s="1"/>
  <c r="D59" i="4"/>
  <c r="D60" i="4" s="1"/>
  <c r="C59" i="4"/>
  <c r="C60" i="4" s="1"/>
  <c r="D53" i="4"/>
  <c r="D54" i="4" s="1"/>
  <c r="C53" i="4"/>
  <c r="C54" i="4" s="1"/>
  <c r="C31" i="4"/>
  <c r="D30" i="4"/>
  <c r="D31" i="4" s="1"/>
  <c r="C30" i="4"/>
  <c r="G21" i="4"/>
  <c r="G22" i="4" s="1"/>
  <c r="D21" i="4"/>
  <c r="D22" i="4" s="1"/>
  <c r="C21" i="4"/>
  <c r="C22" i="4" s="1"/>
  <c r="D45" i="4" l="1"/>
  <c r="D49" i="4"/>
  <c r="D41" i="4"/>
  <c r="D28" i="4"/>
  <c r="D27" i="4"/>
  <c r="D37" i="4"/>
  <c r="E21" i="4"/>
  <c r="E23" i="4" s="1"/>
  <c r="D29" i="4"/>
  <c r="D38" i="4"/>
  <c r="D42" i="4"/>
  <c r="D46" i="4"/>
  <c r="D50" i="4"/>
  <c r="D35" i="4"/>
  <c r="D39" i="4"/>
  <c r="D43" i="4"/>
  <c r="D47" i="4"/>
  <c r="D51" i="4"/>
  <c r="D36" i="4"/>
  <c r="D40" i="4"/>
  <c r="D44" i="4"/>
  <c r="D48" i="4"/>
  <c r="D52" i="4"/>
  <c r="E22" i="4" l="1"/>
  <c r="E5" i="2" l="1"/>
  <c r="E2" i="2" l="1"/>
  <c r="F2" i="2" s="1"/>
</calcChain>
</file>

<file path=xl/comments1.xml><?xml version="1.0" encoding="utf-8"?>
<comments xmlns="http://schemas.openxmlformats.org/spreadsheetml/2006/main">
  <authors>
    <author>TIA Michel</author>
  </authors>
  <commentList>
    <comment ref="B16" authorId="0">
      <text>
        <r>
          <rPr>
            <sz val="9"/>
            <color indexed="81"/>
            <rFont val="Tahoma"/>
            <family val="2"/>
          </rPr>
          <t>Distribution of NFI kits</t>
        </r>
      </text>
    </comment>
    <comment ref="C16" authorId="0">
      <text>
        <r>
          <rPr>
            <sz val="9"/>
            <color indexed="81"/>
            <rFont val="Tahoma"/>
            <family val="2"/>
          </rPr>
          <t xml:space="preserve">Emergency shelter
</t>
        </r>
      </text>
    </comment>
    <comment ref="B17" authorId="0">
      <text>
        <r>
          <rPr>
            <sz val="9"/>
            <color indexed="81"/>
            <rFont val="Tahoma"/>
            <family val="2"/>
          </rPr>
          <t>NFI replenishment</t>
        </r>
      </text>
    </comment>
    <comment ref="C17" authorId="0">
      <text>
        <r>
          <rPr>
            <sz val="9"/>
            <color indexed="81"/>
            <rFont val="Tahoma"/>
            <family val="2"/>
          </rPr>
          <t>Tents replacement</t>
        </r>
      </text>
    </comment>
    <comment ref="C18" authorId="0">
      <text>
        <r>
          <rPr>
            <sz val="9"/>
            <color indexed="81"/>
            <rFont val="Tahoma"/>
            <family val="2"/>
          </rPr>
          <t>Shelter upgrade with concrete slabs</t>
        </r>
      </text>
    </comment>
    <comment ref="C19" authorId="0">
      <text>
        <r>
          <rPr>
            <sz val="9"/>
            <color indexed="81"/>
            <rFont val="Tahoma"/>
            <family val="2"/>
          </rPr>
          <t>Basic shelter repair / upgrade</t>
        </r>
      </text>
    </comment>
    <comment ref="C20" authorId="0">
      <text>
        <r>
          <rPr>
            <sz val="9"/>
            <color indexed="81"/>
            <rFont val="Tahoma"/>
            <family val="2"/>
          </rPr>
          <t xml:space="preserve">repair of heavily damaged
houses
</t>
        </r>
      </text>
    </comment>
  </commentList>
</comments>
</file>

<file path=xl/sharedStrings.xml><?xml version="1.0" encoding="utf-8"?>
<sst xmlns="http://schemas.openxmlformats.org/spreadsheetml/2006/main" count="1178" uniqueCount="138">
  <si>
    <t>IQ-G16</t>
  </si>
  <si>
    <t>Wassit</t>
  </si>
  <si>
    <t>IQ-G09</t>
  </si>
  <si>
    <t>Thi-Qar</t>
  </si>
  <si>
    <t>IQ-G05</t>
  </si>
  <si>
    <t>Sulaymaniyah</t>
  </si>
  <si>
    <t>IQ-G18</t>
  </si>
  <si>
    <t>Salah al-Din</t>
  </si>
  <si>
    <t>IQ-G04</t>
  </si>
  <si>
    <t>Qadissiya</t>
  </si>
  <si>
    <t>IQ-G15</t>
  </si>
  <si>
    <t>Ninewa</t>
  </si>
  <si>
    <t>IQ-G17</t>
  </si>
  <si>
    <t>Najaf</t>
  </si>
  <si>
    <t>IQ-G03</t>
  </si>
  <si>
    <t>Muthanna</t>
  </si>
  <si>
    <t>IQ-G14</t>
  </si>
  <si>
    <t>Missan</t>
  </si>
  <si>
    <t>IQ-G13</t>
  </si>
  <si>
    <t>Kirkuk</t>
  </si>
  <si>
    <t>IQ-G12</t>
  </si>
  <si>
    <t>Kerbala</t>
  </si>
  <si>
    <t>IQ-G11</t>
  </si>
  <si>
    <t>Erbil</t>
  </si>
  <si>
    <t>IQ-G10</t>
  </si>
  <si>
    <t>Diyala</t>
  </si>
  <si>
    <t>IQ-G08</t>
  </si>
  <si>
    <t>Dahuk</t>
  </si>
  <si>
    <t>IQ-G02</t>
  </si>
  <si>
    <t>Basrah</t>
  </si>
  <si>
    <t>IQ-G07</t>
  </si>
  <si>
    <t>Baghdad</t>
  </si>
  <si>
    <t>IQ-G06</t>
  </si>
  <si>
    <t>Babylon</t>
  </si>
  <si>
    <t>IQ-G01</t>
  </si>
  <si>
    <t>Anbar</t>
  </si>
  <si>
    <t>Full Response</t>
  </si>
  <si>
    <t>Second Line</t>
  </si>
  <si>
    <t>First Line</t>
  </si>
  <si>
    <t>Target</t>
  </si>
  <si>
    <t>Admin 1 Code</t>
  </si>
  <si>
    <t>Governerate</t>
  </si>
  <si>
    <t>PEOPLE IN NEED</t>
  </si>
  <si>
    <t>Total Individuals</t>
  </si>
  <si>
    <t>Total Households</t>
  </si>
  <si>
    <r>
      <t xml:space="preserve">Rest </t>
    </r>
    <r>
      <rPr>
        <b/>
        <sz val="10"/>
        <color theme="1"/>
        <rFont val="Arial"/>
        <family val="2"/>
      </rPr>
      <t>of Iraq</t>
    </r>
  </si>
  <si>
    <t>KRI</t>
  </si>
  <si>
    <t>Mosul</t>
  </si>
  <si>
    <t># People targeted</t>
  </si>
  <si>
    <t># of partners with approved projects in the HRP</t>
  </si>
  <si>
    <t>Financial requirements</t>
  </si>
  <si>
    <t>Cluster coordinator name and email address:</t>
  </si>
  <si>
    <t>Richard Evans</t>
  </si>
  <si>
    <t>coord.iraq@sheltercluster.org</t>
  </si>
  <si>
    <t>Cluster co-coordinator name and email address:</t>
  </si>
  <si>
    <t>Michael Gloeckle</t>
  </si>
  <si>
    <t>coord2.iraq@sheltercluster.org</t>
  </si>
  <si>
    <t>Total</t>
  </si>
  <si>
    <t>KR-I</t>
  </si>
  <si>
    <t>Rest of Iraq</t>
  </si>
  <si>
    <t>Mosul / Ninewa</t>
  </si>
  <si>
    <t>Objective 1 / 1st line response</t>
  </si>
  <si>
    <t>Objective 3 / Full response</t>
  </si>
  <si>
    <t>Objective 2 / 2nd line response</t>
  </si>
  <si>
    <t>NFI (ind.)</t>
  </si>
  <si>
    <t>Shelter (Ind.)</t>
  </si>
  <si>
    <t>Total (Ind.)</t>
  </si>
  <si>
    <t>Target per indicators as in 2017 HRP</t>
  </si>
  <si>
    <t>Total (HH.)</t>
  </si>
  <si>
    <t>Cluster Objective 1:</t>
  </si>
  <si>
    <t>Provide safe, appropriate emergency shelter and distribute critical life-saving non-food items to vulnerable populations in priority locations</t>
  </si>
  <si>
    <t>Supporting Strategic Objectives:</t>
  </si>
  <si>
    <t>SO1, SO2</t>
  </si>
  <si>
    <t>Indicator:</t>
  </si>
  <si>
    <t>Activities</t>
  </si>
  <si>
    <t>In Need</t>
  </si>
  <si>
    <t>Governorate</t>
  </si>
  <si>
    <t>Baseline</t>
  </si>
  <si>
    <t>HH/people</t>
  </si>
  <si>
    <t>Male</t>
  </si>
  <si>
    <t>Female</t>
  </si>
  <si>
    <t>Reached</t>
  </si>
  <si>
    <t>No of people supported through the provision of emergency shelter</t>
  </si>
  <si>
    <t>Provision of tents and emergency shelter kits</t>
  </si>
  <si>
    <t>IDPs, Returnees</t>
  </si>
  <si>
    <t>All governorates</t>
  </si>
  <si>
    <t>56,603/339,618</t>
  </si>
  <si>
    <t>No of people supported through of the distribution NFI kits</t>
  </si>
  <si>
    <t>Distributing non-food item kits (Mobile or Basic, Seasonal Top-up or clothing)</t>
  </si>
  <si>
    <t>IDPs, Returnees, Stayees, Hosts</t>
  </si>
  <si>
    <t>212,818/1,276,909</t>
  </si>
  <si>
    <t>Cluster Objective 2:</t>
  </si>
  <si>
    <t>Upgrade and repair basic shelters and replenish core household items for vulnerable populations.</t>
  </si>
  <si>
    <t>SO1, SO2, SO3</t>
  </si>
  <si>
    <t>No of people supported with tent replacements</t>
  </si>
  <si>
    <t>Replacing degraded and damaged tents</t>
  </si>
  <si>
    <t>IDPs</t>
  </si>
  <si>
    <t>6,944/41,664</t>
  </si>
  <si>
    <t>No of people supported with shelter upgrade with concrete slabs.</t>
  </si>
  <si>
    <t>Upgrading shelter plots (in existing camp)</t>
  </si>
  <si>
    <t>11,925/71,550</t>
  </si>
  <si>
    <t>No of people supported with basic shelter upgrades or repair</t>
  </si>
  <si>
    <t>Upgrade and repair basic shelters  for vulnerable populations</t>
  </si>
  <si>
    <t>23,899/143,394</t>
  </si>
  <si>
    <t>No of people supported with replenishment of core household items</t>
  </si>
  <si>
    <t>Replenish core household items for vulnerable populations</t>
  </si>
  <si>
    <t>8,976/53,856</t>
  </si>
  <si>
    <t>Cluster Objective 3:</t>
  </si>
  <si>
    <t>Expand safe, dignified shelter and housing options for vulnerable households in accordance with agreed standards.</t>
  </si>
  <si>
    <t>SO2, SO3</t>
  </si>
  <si>
    <t>No of people supported with safe, dignified shelter and housing options through repair of heavily damaged houses</t>
  </si>
  <si>
    <t>Upgrade or Repair Unfinished and Abandoned / War Damaged buildings</t>
  </si>
  <si>
    <t> All governorates</t>
  </si>
  <si>
    <t>6,608/39,648</t>
  </si>
  <si>
    <t xml:space="preserve">Monitoring Matrix | Objectives Indicators  </t>
  </si>
  <si>
    <r>
      <t xml:space="preserve">These are Cluster overall achievements per objectives and indicators. </t>
    </r>
    <r>
      <rPr>
        <sz val="11"/>
        <color rgb="FFC00000"/>
        <rFont val="Calibri"/>
        <family val="2"/>
        <scheme val="minor"/>
      </rPr>
      <t xml:space="preserve">However major gaps to be considered remain at governorate level. </t>
    </r>
  </si>
  <si>
    <t>HH</t>
  </si>
  <si>
    <t>Ind.</t>
  </si>
  <si>
    <t>Update</t>
  </si>
  <si>
    <t>NFI</t>
  </si>
  <si>
    <t>Shelter</t>
  </si>
  <si>
    <t>NFI3</t>
  </si>
  <si>
    <t>Emergency NFI</t>
  </si>
  <si>
    <t>Emergency Shelter</t>
  </si>
  <si>
    <t>Cluster response since Jan.17</t>
  </si>
  <si>
    <t xml:space="preserve">NFI Replenishment </t>
  </si>
  <si>
    <t>Shelter Upgrade/Repair</t>
  </si>
  <si>
    <t>Shelter and housing options</t>
  </si>
  <si>
    <t>Cluster response Jan.17</t>
  </si>
  <si>
    <t>Cluster response Feb.17</t>
  </si>
  <si>
    <t>Cluster response Mar.17</t>
  </si>
  <si>
    <t>Cluster response Apr.17</t>
  </si>
  <si>
    <t>Cluster response Mai.17</t>
  </si>
  <si>
    <t>Cluster response Jun.17</t>
  </si>
  <si>
    <t>Coverage against target</t>
  </si>
  <si>
    <t>Cluster response Jul.17</t>
  </si>
  <si>
    <t>Summary Since Jan.17</t>
  </si>
  <si>
    <t>on changes since Jun.17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</si>
</sst>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B8CCE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1" xfId="1" applyNumberFormat="1" applyFont="1" applyBorder="1" applyAlignment="1">
      <alignment horizontal="right" vertical="top"/>
    </xf>
    <xf numFmtId="164" fontId="1" fillId="0" borderId="1" xfId="1" applyNumberFormat="1" applyFont="1" applyBorder="1" applyAlignment="1">
      <alignment horizontal="right" vertical="top"/>
    </xf>
    <xf numFmtId="164" fontId="0" fillId="0" borderId="0" xfId="0" applyNumberFormat="1" applyFont="1"/>
    <xf numFmtId="0" fontId="4" fillId="3" borderId="2" xfId="2" applyFont="1" applyFill="1" applyBorder="1" applyAlignment="1">
      <alignment horizontal="left" wrapText="1"/>
    </xf>
    <xf numFmtId="164" fontId="0" fillId="3" borderId="2" xfId="1" applyNumberFormat="1" applyFont="1" applyFill="1" applyBorder="1" applyAlignment="1">
      <alignment horizontal="right" vertical="top"/>
    </xf>
    <xf numFmtId="0" fontId="4" fillId="4" borderId="1" xfId="2" applyFont="1" applyFill="1" applyBorder="1" applyAlignment="1">
      <alignment horizontal="left" wrapText="1"/>
    </xf>
    <xf numFmtId="164" fontId="0" fillId="4" borderId="1" xfId="1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3" borderId="5" xfId="2" applyNumberFormat="1" applyFont="1" applyFill="1" applyBorder="1" applyAlignment="1">
      <alignment horizontal="left" wrapText="1"/>
    </xf>
    <xf numFmtId="164" fontId="0" fillId="3" borderId="5" xfId="1" applyNumberFormat="1" applyFont="1" applyFill="1" applyBorder="1" applyAlignment="1">
      <alignment horizontal="right" vertical="top"/>
    </xf>
    <xf numFmtId="0" fontId="4" fillId="4" borderId="1" xfId="2" applyNumberFormat="1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" xfId="2" applyNumberFormat="1" applyFont="1" applyBorder="1" applyAlignment="1">
      <alignment horizontal="left" wrapText="1"/>
    </xf>
    <xf numFmtId="164" fontId="12" fillId="0" borderId="1" xfId="1" applyNumberFormat="1" applyFont="1" applyBorder="1" applyAlignment="1">
      <alignment horizontal="right" vertical="top"/>
    </xf>
    <xf numFmtId="0" fontId="13" fillId="2" borderId="4" xfId="0" applyFont="1" applyFill="1" applyBorder="1" applyAlignment="1">
      <alignment horizontal="left" vertical="center"/>
    </xf>
    <xf numFmtId="0" fontId="11" fillId="5" borderId="1" xfId="2" applyNumberFormat="1" applyFont="1" applyFill="1" applyBorder="1" applyAlignment="1">
      <alignment horizontal="left" wrapText="1"/>
    </xf>
    <xf numFmtId="164" fontId="12" fillId="5" borderId="1" xfId="1" applyNumberFormat="1" applyFont="1" applyFill="1" applyBorder="1" applyAlignment="1">
      <alignment horizontal="right" vertical="top"/>
    </xf>
    <xf numFmtId="0" fontId="11" fillId="0" borderId="1" xfId="2" applyFont="1" applyFill="1" applyBorder="1" applyAlignment="1">
      <alignment horizontal="left" wrapText="1"/>
    </xf>
    <xf numFmtId="0" fontId="14" fillId="5" borderId="1" xfId="2" applyNumberFormat="1" applyFont="1" applyFill="1" applyBorder="1" applyAlignment="1">
      <alignment horizontal="left" wrapText="1"/>
    </xf>
    <xf numFmtId="164" fontId="15" fillId="5" borderId="1" xfId="1" applyNumberFormat="1" applyFont="1" applyFill="1" applyBorder="1" applyAlignment="1">
      <alignment horizontal="right" vertical="top"/>
    </xf>
    <xf numFmtId="0" fontId="16" fillId="0" borderId="1" xfId="2" applyFont="1" applyFill="1" applyBorder="1" applyAlignment="1">
      <alignment horizontal="left" wrapText="1"/>
    </xf>
    <xf numFmtId="164" fontId="17" fillId="0" borderId="1" xfId="1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0" fontId="16" fillId="0" borderId="1" xfId="2" applyNumberFormat="1" applyFont="1" applyBorder="1" applyAlignment="1">
      <alignment horizontal="left" wrapText="1"/>
    </xf>
    <xf numFmtId="0" fontId="16" fillId="5" borderId="1" xfId="2" applyNumberFormat="1" applyFont="1" applyFill="1" applyBorder="1" applyAlignment="1">
      <alignment horizontal="left" wrapText="1"/>
    </xf>
    <xf numFmtId="164" fontId="17" fillId="5" borderId="1" xfId="1" applyNumberFormat="1" applyFont="1" applyFill="1" applyBorder="1" applyAlignment="1">
      <alignment horizontal="right" vertical="top"/>
    </xf>
    <xf numFmtId="0" fontId="16" fillId="0" borderId="2" xfId="2" applyFont="1" applyFill="1" applyBorder="1" applyAlignment="1">
      <alignment horizontal="left" wrapText="1"/>
    </xf>
    <xf numFmtId="164" fontId="17" fillId="0" borderId="2" xfId="1" applyNumberFormat="1" applyFont="1" applyBorder="1" applyAlignment="1">
      <alignment horizontal="right" vertical="top"/>
    </xf>
    <xf numFmtId="0" fontId="16" fillId="0" borderId="5" xfId="2" applyNumberFormat="1" applyFont="1" applyBorder="1" applyAlignment="1">
      <alignment horizontal="left" wrapText="1"/>
    </xf>
    <xf numFmtId="164" fontId="17" fillId="0" borderId="5" xfId="1" applyNumberFormat="1" applyFont="1" applyBorder="1" applyAlignment="1">
      <alignment horizontal="right" vertical="top"/>
    </xf>
    <xf numFmtId="0" fontId="18" fillId="0" borderId="1" xfId="2" applyFont="1" applyFill="1" applyBorder="1" applyAlignment="1">
      <alignment horizontal="left" wrapText="1"/>
    </xf>
    <xf numFmtId="164" fontId="19" fillId="0" borderId="1" xfId="1" applyNumberFormat="1" applyFont="1" applyBorder="1" applyAlignment="1">
      <alignment horizontal="right" vertical="top"/>
    </xf>
    <xf numFmtId="0" fontId="17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6" fillId="0" borderId="0" xfId="0" applyFont="1"/>
    <xf numFmtId="3" fontId="20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/>
    <xf numFmtId="0" fontId="6" fillId="0" borderId="6" xfId="0" applyFont="1" applyBorder="1"/>
    <xf numFmtId="6" fontId="21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/>
    <xf numFmtId="0" fontId="6" fillId="3" borderId="0" xfId="0" applyFont="1" applyFill="1"/>
    <xf numFmtId="0" fontId="6" fillId="8" borderId="0" xfId="0" applyFont="1" applyFill="1"/>
    <xf numFmtId="0" fontId="6" fillId="9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/>
    <xf numFmtId="164" fontId="7" fillId="4" borderId="0" xfId="0" applyNumberFormat="1" applyFont="1" applyFill="1"/>
    <xf numFmtId="0" fontId="7" fillId="0" borderId="1" xfId="0" applyFont="1" applyBorder="1"/>
    <xf numFmtId="164" fontId="7" fillId="0" borderId="1" xfId="1" applyNumberFormat="1" applyFont="1" applyBorder="1"/>
    <xf numFmtId="0" fontId="7" fillId="0" borderId="9" xfId="0" applyFont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right" vertical="center"/>
    </xf>
    <xf numFmtId="164" fontId="6" fillId="9" borderId="9" xfId="1" applyNumberFormat="1" applyFont="1" applyFill="1" applyBorder="1" applyAlignment="1">
      <alignment horizontal="right" vertical="center"/>
    </xf>
    <xf numFmtId="164" fontId="6" fillId="8" borderId="9" xfId="1" applyNumberFormat="1" applyFont="1" applyFill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right" vertical="center"/>
    </xf>
    <xf numFmtId="164" fontId="6" fillId="9" borderId="6" xfId="1" applyNumberFormat="1" applyFont="1" applyFill="1" applyBorder="1" applyAlignment="1">
      <alignment horizontal="right" vertical="center"/>
    </xf>
    <xf numFmtId="164" fontId="6" fillId="8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/>
    </xf>
    <xf numFmtId="164" fontId="6" fillId="0" borderId="8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0" fontId="6" fillId="9" borderId="13" xfId="0" applyFont="1" applyFill="1" applyBorder="1"/>
    <xf numFmtId="164" fontId="6" fillId="9" borderId="8" xfId="1" applyNumberFormat="1" applyFont="1" applyFill="1" applyBorder="1" applyAlignment="1">
      <alignment horizontal="right" vertical="center"/>
    </xf>
    <xf numFmtId="164" fontId="6" fillId="9" borderId="2" xfId="1" applyNumberFormat="1" applyFont="1" applyFill="1" applyBorder="1" applyAlignment="1">
      <alignment horizontal="right" vertical="center"/>
    </xf>
    <xf numFmtId="0" fontId="6" fillId="9" borderId="14" xfId="0" applyFont="1" applyFill="1" applyBorder="1"/>
    <xf numFmtId="164" fontId="6" fillId="9" borderId="10" xfId="1" applyNumberFormat="1" applyFont="1" applyFill="1" applyBorder="1" applyAlignment="1">
      <alignment horizontal="right" vertical="center"/>
    </xf>
    <xf numFmtId="164" fontId="6" fillId="9" borderId="7" xfId="1" applyNumberFormat="1" applyFont="1" applyFill="1" applyBorder="1" applyAlignment="1">
      <alignment horizontal="right" vertical="center"/>
    </xf>
    <xf numFmtId="0" fontId="25" fillId="10" borderId="1" xfId="0" applyFont="1" applyFill="1" applyBorder="1" applyAlignment="1">
      <alignment vertical="center"/>
    </xf>
    <xf numFmtId="0" fontId="25" fillId="11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164" fontId="0" fillId="0" borderId="0" xfId="1" applyNumberFormat="1" applyFont="1"/>
    <xf numFmtId="0" fontId="25" fillId="11" borderId="11" xfId="0" applyFont="1" applyFill="1" applyBorder="1" applyAlignment="1">
      <alignment vertical="center" wrapText="1"/>
    </xf>
    <xf numFmtId="0" fontId="25" fillId="11" borderId="15" xfId="0" applyFont="1" applyFill="1" applyBorder="1" applyAlignment="1">
      <alignment vertical="center" wrapText="1"/>
    </xf>
    <xf numFmtId="0" fontId="25" fillId="11" borderId="12" xfId="0" applyFont="1" applyFill="1" applyBorder="1" applyAlignment="1">
      <alignment vertical="center" wrapText="1"/>
    </xf>
    <xf numFmtId="0" fontId="26" fillId="0" borderId="0" xfId="0" applyFont="1"/>
    <xf numFmtId="15" fontId="26" fillId="0" borderId="0" xfId="0" applyNumberFormat="1" applyFont="1"/>
    <xf numFmtId="0" fontId="25" fillId="10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left"/>
    </xf>
    <xf numFmtId="164" fontId="0" fillId="0" borderId="7" xfId="1" applyNumberFormat="1" applyFont="1" applyBorder="1" applyAlignment="1">
      <alignment horizontal="right" vertical="top"/>
    </xf>
    <xf numFmtId="0" fontId="27" fillId="2" borderId="1" xfId="0" applyFont="1" applyFill="1" applyBorder="1" applyAlignment="1">
      <alignment horizontal="left" vertical="top"/>
    </xf>
    <xf numFmtId="0" fontId="30" fillId="0" borderId="0" xfId="0" applyFont="1" applyAlignment="1">
      <alignment horizontal="left"/>
    </xf>
    <xf numFmtId="0" fontId="29" fillId="2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9" fontId="32" fillId="12" borderId="1" xfId="0" applyNumberFormat="1" applyFont="1" applyFill="1" applyBorder="1" applyAlignment="1">
      <alignment horizontal="right" vertical="top"/>
    </xf>
    <xf numFmtId="0" fontId="4" fillId="4" borderId="2" xfId="2" applyFont="1" applyFill="1" applyBorder="1" applyAlignment="1">
      <alignment horizontal="left" wrapText="1"/>
    </xf>
    <xf numFmtId="164" fontId="0" fillId="4" borderId="2" xfId="1" applyNumberFormat="1" applyFont="1" applyFill="1" applyBorder="1" applyAlignment="1">
      <alignment horizontal="right" vertical="top"/>
    </xf>
    <xf numFmtId="0" fontId="31" fillId="12" borderId="11" xfId="0" applyNumberFormat="1" applyFont="1" applyFill="1" applyBorder="1" applyAlignment="1" applyProtection="1">
      <alignment horizontal="left" wrapText="1"/>
    </xf>
    <xf numFmtId="0" fontId="31" fillId="12" borderId="15" xfId="0" applyNumberFormat="1" applyFont="1" applyFill="1" applyBorder="1" applyAlignment="1" applyProtection="1">
      <alignment horizontal="left" wrapText="1"/>
    </xf>
    <xf numFmtId="164" fontId="32" fillId="12" borderId="15" xfId="0" applyNumberFormat="1" applyFont="1" applyFill="1" applyBorder="1" applyAlignment="1">
      <alignment horizontal="right" vertical="top"/>
    </xf>
    <xf numFmtId="0" fontId="32" fillId="12" borderId="15" xfId="0" applyFont="1" applyFill="1" applyBorder="1" applyAlignment="1">
      <alignment horizontal="right" vertical="top"/>
    </xf>
    <xf numFmtId="0" fontId="32" fillId="12" borderId="12" xfId="0" applyFont="1" applyFill="1" applyBorder="1" applyAlignment="1">
      <alignment horizontal="left"/>
    </xf>
    <xf numFmtId="0" fontId="25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vertical="center" wrapText="1"/>
    </xf>
    <xf numFmtId="166" fontId="33" fillId="2" borderId="0" xfId="0" applyNumberFormat="1" applyFont="1" applyFill="1" applyBorder="1" applyAlignment="1">
      <alignment horizontal="left" vertical="top"/>
    </xf>
    <xf numFmtId="6" fontId="7" fillId="0" borderId="1" xfId="0" applyNumberFormat="1" applyFont="1" applyBorder="1"/>
    <xf numFmtId="0" fontId="4" fillId="12" borderId="11" xfId="0" applyNumberFormat="1" applyFont="1" applyFill="1" applyBorder="1" applyAlignment="1" applyProtection="1">
      <alignment horizontal="left" wrapText="1"/>
    </xf>
    <xf numFmtId="0" fontId="4" fillId="12" borderId="15" xfId="0" applyNumberFormat="1" applyFont="1" applyFill="1" applyBorder="1" applyAlignment="1" applyProtection="1">
      <alignment horizontal="left" wrapText="1"/>
    </xf>
    <xf numFmtId="164" fontId="0" fillId="12" borderId="15" xfId="0" applyNumberFormat="1" applyFont="1" applyFill="1" applyBorder="1" applyAlignment="1">
      <alignment horizontal="right" vertical="top"/>
    </xf>
    <xf numFmtId="9" fontId="0" fillId="12" borderId="1" xfId="0" applyNumberFormat="1" applyFont="1" applyFill="1" applyBorder="1" applyAlignment="1">
      <alignment horizontal="right" vertical="top"/>
    </xf>
    <xf numFmtId="0" fontId="0" fillId="12" borderId="15" xfId="0" applyFont="1" applyFill="1" applyBorder="1" applyAlignment="1">
      <alignment horizontal="right" vertical="top"/>
    </xf>
    <xf numFmtId="0" fontId="0" fillId="12" borderId="12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vertical="center" wrapText="1"/>
    </xf>
    <xf numFmtId="0" fontId="25" fillId="10" borderId="2" xfId="0" applyFont="1" applyFill="1" applyBorder="1" applyAlignment="1">
      <alignment vertical="center"/>
    </xf>
    <xf numFmtId="0" fontId="25" fillId="10" borderId="7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 wrapText="1"/>
    </xf>
    <xf numFmtId="0" fontId="25" fillId="10" borderId="7" xfId="0" applyFont="1" applyFill="1" applyBorder="1" applyAlignment="1">
      <alignment vertical="center" wrapText="1"/>
    </xf>
    <xf numFmtId="9" fontId="2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0" fontId="25" fillId="8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8" borderId="2" xfId="0" applyNumberFormat="1" applyFont="1" applyFill="1" applyBorder="1" applyAlignment="1">
      <alignment horizontal="right" vertical="center" wrapText="1"/>
    </xf>
    <xf numFmtId="3" fontId="0" fillId="8" borderId="7" xfId="0" applyNumberFormat="1" applyFont="1" applyFill="1" applyBorder="1" applyAlignment="1">
      <alignment horizontal="right" vertical="center" wrapText="1"/>
    </xf>
    <xf numFmtId="164" fontId="0" fillId="8" borderId="2" xfId="1" applyNumberFormat="1" applyFont="1" applyFill="1" applyBorder="1" applyAlignment="1">
      <alignment horizontal="right" vertical="center" wrapText="1"/>
    </xf>
    <xf numFmtId="164" fontId="0" fillId="8" borderId="7" xfId="1" applyNumberFormat="1" applyFont="1" applyFill="1" applyBorder="1" applyAlignment="1">
      <alignment horizontal="right" vertical="center" wrapText="1"/>
    </xf>
    <xf numFmtId="165" fontId="0" fillId="8" borderId="2" xfId="4" applyNumberFormat="1" applyFont="1" applyFill="1" applyBorder="1" applyAlignment="1">
      <alignment horizontal="right" vertical="center"/>
    </xf>
    <xf numFmtId="165" fontId="0" fillId="8" borderId="7" xfId="4" applyNumberFormat="1" applyFont="1" applyFill="1" applyBorder="1" applyAlignment="1">
      <alignment horizontal="right" vertical="center"/>
    </xf>
    <xf numFmtId="165" fontId="24" fillId="8" borderId="2" xfId="4" applyNumberFormat="1" applyFont="1" applyFill="1" applyBorder="1" applyAlignment="1">
      <alignment horizontal="right" vertical="center"/>
    </xf>
    <xf numFmtId="165" fontId="24" fillId="8" borderId="7" xfId="4" applyNumberFormat="1" applyFont="1" applyFill="1" applyBorder="1" applyAlignment="1">
      <alignment horizontal="right" vertical="center"/>
    </xf>
  </cellXfs>
  <cellStyles count="5">
    <cellStyle name="Comma" xfId="1" builtinId="3"/>
    <cellStyle name="Hyperlink" xfId="3" builtinId="8"/>
    <cellStyle name="Normal" xfId="0" builtinId="0"/>
    <cellStyle name="Normal_Sheet1" xfId="2"/>
    <cellStyle name="Percent" xfId="4" builtinId="5"/>
  </cellStyles>
  <dxfs count="2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 tint="-0.34998626667073579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235694" displayName="Table14235694" ref="A2:L23" totalsRowCount="1" headerRowDxfId="214" dataDxfId="213" totalsRowDxfId="212" totalsRowBorderDxfId="211">
  <autoFilter ref="A2:L22"/>
  <sortState ref="A2:H19">
    <sortCondition ref="A1:A19"/>
  </sortState>
  <tableColumns count="12">
    <tableColumn id="1" name="Governerate" dataDxfId="210" totalsRowDxfId="209" dataCellStyle="Normal_Sheet1"/>
    <tableColumn id="2" name="Admin 1 Code" dataDxfId="208" totalsRowDxfId="207" dataCellStyle="Normal_Sheet1"/>
    <tableColumn id="5" name="PEOPLE IN NEED" dataDxfId="206" totalsRowDxfId="205" dataCellStyle="Comma"/>
    <tableColumn id="6" name="Target" dataDxfId="204" totalsRowDxfId="203" dataCellStyle="Comma"/>
    <tableColumn id="7" name="NFI" totalsRowFunction="custom" totalsRowDxfId="202" dataCellStyle="Percent">
      <totalsRowFormula>E21/D21</totalsRowFormula>
    </tableColumn>
    <tableColumn id="12" name="Shelter" totalsRowFunction="custom" totalsRowDxfId="201" dataCellStyle="Percent">
      <calculatedColumnFormula>Table14235694[[#This Row],[Emergency Shelter]]+Table14235694[[#This Row],[Shelter Upgrade/Repair]]+Table14235694[[#This Row],[Shelter and housing options]]</calculatedColumnFormula>
      <totalsRowFormula>F21/D21</totalsRowFormula>
    </tableColumn>
    <tableColumn id="8" name="Emergency NFI" dataDxfId="200" totalsRowDxfId="199"/>
    <tableColumn id="3" name="Emergency Shelter" dataDxfId="198" totalsRowDxfId="197" dataCellStyle="Comma"/>
    <tableColumn id="9" name="NFI Replenishment " dataDxfId="196" totalsRowDxfId="195"/>
    <tableColumn id="4" name="Shelter Upgrade/Repair" dataDxfId="194" totalsRowDxfId="193" dataCellStyle="Comma"/>
    <tableColumn id="10" name="NFI3" dataDxfId="192" totalsRowDxfId="191"/>
    <tableColumn id="11" name="Shelter and housing options" dataDxfId="190" totalsRowDxfId="18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7" name="Table142356948" displayName="Table142356948" ref="A2:L23" totalsRowCount="1" headerRowDxfId="188" dataDxfId="187" totalsRowBorderDxfId="186">
  <autoFilter ref="A2:L22"/>
  <sortState ref="A3:H20">
    <sortCondition ref="A1:A19"/>
  </sortState>
  <tableColumns count="12">
    <tableColumn id="1" name="Governerate" dataDxfId="185" totalsRowDxfId="184" dataCellStyle="Normal_Sheet1"/>
    <tableColumn id="2" name="Admin 1 Code" dataDxfId="183" totalsRowDxfId="182" dataCellStyle="Normal_Sheet1"/>
    <tableColumn id="5" name="PEOPLE IN NEED" dataDxfId="181" totalsRowDxfId="180" dataCellStyle="Comma"/>
    <tableColumn id="6" name="Target" dataDxfId="179" totalsRowDxfId="178" dataCellStyle="Comma"/>
    <tableColumn id="7" name="NFI" totalsRowFunction="custom" dataDxfId="177" totalsRowDxfId="176" dataCellStyle="Percent">
      <totalsRowFormula>E21/D21</totalsRowFormula>
    </tableColumn>
    <tableColumn id="12" name="Shelter" totalsRowFunction="custom" dataDxfId="175" totalsRowDxfId="174" dataCellStyle="Percent">
      <calculatedColumnFormula>Table142356948[[#This Row],[Emergency Shelter]]+Table142356948[[#This Row],[Shelter Upgrade/Repair]]+Table142356948[[#This Row],[Shelter and housing options]]</calculatedColumnFormula>
      <totalsRowFormula>F21/D21</totalsRowFormula>
    </tableColumn>
    <tableColumn id="8" name="Emergency NFI" dataDxfId="173" totalsRowDxfId="172"/>
    <tableColumn id="3" name="Emergency Shelter" dataDxfId="171" totalsRowDxfId="170" dataCellStyle="Comma"/>
    <tableColumn id="9" name="NFI Replenishment " dataDxfId="169" totalsRowDxfId="168"/>
    <tableColumn id="4" name="Shelter Upgrade/Repair" dataDxfId="167" totalsRowDxfId="166" dataCellStyle="Comma"/>
    <tableColumn id="10" name="NFI3" dataDxfId="165" totalsRowDxfId="164"/>
    <tableColumn id="11" name="Shelter and housing options" dataDxfId="163" totalsRowDxfId="162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9" name="Table14235694810" displayName="Table14235694810" ref="A2:L23" totalsRowCount="1" headerRowDxfId="161" dataDxfId="160" totalsRowBorderDxfId="159">
  <autoFilter ref="A2:L22"/>
  <sortState ref="A3:H20">
    <sortCondition ref="A1:A19"/>
  </sortState>
  <tableColumns count="12">
    <tableColumn id="1" name="Governerate" dataDxfId="158" totalsRowDxfId="157" dataCellStyle="Normal_Sheet1"/>
    <tableColumn id="2" name="Admin 1 Code" dataDxfId="156" totalsRowDxfId="155" dataCellStyle="Normal_Sheet1"/>
    <tableColumn id="5" name="PEOPLE IN NEED" dataDxfId="154" totalsRowDxfId="153" dataCellStyle="Comma"/>
    <tableColumn id="6" name="Target" dataDxfId="152" totalsRowDxfId="151" dataCellStyle="Comma"/>
    <tableColumn id="7" name="NFI" totalsRowFunction="custom" dataDxfId="150" totalsRowDxfId="149" dataCellStyle="Percent">
      <totalsRowFormula>E21/D21</totalsRowFormula>
    </tableColumn>
    <tableColumn id="12" name="Shelter" totalsRowFunction="custom" dataDxfId="148" totalsRowDxfId="147" dataCellStyle="Percent">
      <calculatedColumnFormula>Table14235694810[[#This Row],[Emergency Shelter]]+Table14235694810[[#This Row],[Shelter Upgrade/Repair]]+Table14235694810[[#This Row],[Shelter and housing options]]</calculatedColumnFormula>
      <totalsRowFormula>F21/D21</totalsRowFormula>
    </tableColumn>
    <tableColumn id="8" name="Emergency NFI" dataDxfId="146" totalsRowDxfId="145"/>
    <tableColumn id="3" name="Emergency Shelter" dataDxfId="144" totalsRowDxfId="143" dataCellStyle="Comma"/>
    <tableColumn id="9" name="NFI Replenishment " dataDxfId="142" totalsRowDxfId="141"/>
    <tableColumn id="4" name="Shelter Upgrade/Repair" dataDxfId="140" totalsRowDxfId="139" dataCellStyle="Comma"/>
    <tableColumn id="10" name="NFI3" dataDxfId="138" totalsRowDxfId="137"/>
    <tableColumn id="11" name="Shelter and housing options" dataDxfId="136" totalsRowDxfId="135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10" name="Table1423569481011" displayName="Table1423569481011" ref="A2:L23" totalsRowCount="1" headerRowDxfId="134" dataDxfId="133" totalsRowBorderDxfId="132">
  <autoFilter ref="A2:L22"/>
  <sortState ref="A3:H20">
    <sortCondition ref="A1:A19"/>
  </sortState>
  <tableColumns count="12">
    <tableColumn id="1" name="Governerate" dataDxfId="131" totalsRowDxfId="130" dataCellStyle="Normal_Sheet1"/>
    <tableColumn id="2" name="Admin 1 Code" dataDxfId="129" totalsRowDxfId="128" dataCellStyle="Normal_Sheet1"/>
    <tableColumn id="5" name="PEOPLE IN NEED" dataDxfId="127" totalsRowDxfId="126" dataCellStyle="Comma"/>
    <tableColumn id="6" name="Target" dataDxfId="125" totalsRowDxfId="124" dataCellStyle="Comma"/>
    <tableColumn id="7" name="NFI" totalsRowFunction="custom" dataDxfId="123" totalsRowDxfId="122" dataCellStyle="Percent">
      <totalsRowFormula>E21/D21</totalsRowFormula>
    </tableColumn>
    <tableColumn id="12" name="Shelter" totalsRowFunction="custom" dataDxfId="121" totalsRowDxfId="120" dataCellStyle="Percent">
      <calculatedColumnFormula>Table1423569481011[[#This Row],[Emergency Shelter]]+Table1423569481011[[#This Row],[Shelter Upgrade/Repair]]+Table1423569481011[[#This Row],[Shelter and housing options]]</calculatedColumnFormula>
      <totalsRowFormula>F21/D21</totalsRowFormula>
    </tableColumn>
    <tableColumn id="8" name="Emergency NFI" dataDxfId="119" totalsRowDxfId="118"/>
    <tableColumn id="3" name="Emergency Shelter" dataDxfId="117" totalsRowDxfId="116" dataCellStyle="Comma"/>
    <tableColumn id="9" name="NFI Replenishment " dataDxfId="115" totalsRowDxfId="114"/>
    <tableColumn id="4" name="Shelter Upgrade/Repair" dataDxfId="113" totalsRowDxfId="112" dataCellStyle="Comma"/>
    <tableColumn id="10" name="NFI3" dataDxfId="111" totalsRowDxfId="110"/>
    <tableColumn id="11" name="Shelter and housing options" dataDxfId="109" totalsRowDxfId="108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11" name="Table142356948101112" displayName="Table142356948101112" ref="A2:L23" totalsRowCount="1" headerRowDxfId="107" dataDxfId="106" totalsRowBorderDxfId="105">
  <autoFilter ref="A2:L22"/>
  <sortState ref="A3:H20">
    <sortCondition ref="A1:A19"/>
  </sortState>
  <tableColumns count="12">
    <tableColumn id="1" name="Governerate" dataDxfId="104" totalsRowDxfId="103" dataCellStyle="Normal_Sheet1"/>
    <tableColumn id="2" name="Admin 1 Code" dataDxfId="102" totalsRowDxfId="101" dataCellStyle="Normal_Sheet1"/>
    <tableColumn id="5" name="PEOPLE IN NEED" dataDxfId="100" totalsRowDxfId="99" dataCellStyle="Comma"/>
    <tableColumn id="6" name="Target" dataDxfId="98" totalsRowDxfId="97" dataCellStyle="Comma"/>
    <tableColumn id="7" name="NFI" totalsRowFunction="custom" dataDxfId="96" totalsRowDxfId="95" dataCellStyle="Percent">
      <totalsRowFormula>E21/D21</totalsRowFormula>
    </tableColumn>
    <tableColumn id="12" name="Shelter" totalsRowFunction="custom" dataDxfId="94" totalsRowDxfId="93" dataCellStyle="Percent">
      <calculatedColumnFormula>Table142356948101112[[#This Row],[Emergency Shelter]]+Table142356948101112[[#This Row],[Shelter Upgrade/Repair]]+Table142356948101112[[#This Row],[Shelter and housing options]]</calculatedColumnFormula>
      <totalsRowFormula>F21/D21</totalsRowFormula>
    </tableColumn>
    <tableColumn id="8" name="Emergency NFI" dataDxfId="92" totalsRowDxfId="91"/>
    <tableColumn id="3" name="Emergency Shelter" dataDxfId="90" totalsRowDxfId="89" dataCellStyle="Comma"/>
    <tableColumn id="9" name="NFI Replenishment " dataDxfId="88" totalsRowDxfId="87"/>
    <tableColumn id="4" name="Shelter Upgrade/Repair" dataDxfId="86" totalsRowDxfId="85" dataCellStyle="Comma"/>
    <tableColumn id="10" name="NFI3" dataDxfId="84" totalsRowDxfId="83"/>
    <tableColumn id="11" name="Shelter and housing options" dataDxfId="82" totalsRowDxfId="81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2" name="Table14235694810111213" displayName="Table14235694810111213" ref="A2:L23" totalsRowCount="1" headerRowDxfId="80" dataDxfId="79" totalsRowBorderDxfId="78">
  <autoFilter ref="A2:L22"/>
  <sortState ref="A3:H20">
    <sortCondition ref="A1:A19"/>
  </sortState>
  <tableColumns count="12">
    <tableColumn id="1" name="Governerate" dataDxfId="77" totalsRowDxfId="76" dataCellStyle="Normal_Sheet1"/>
    <tableColumn id="2" name="Admin 1 Code" dataDxfId="75" totalsRowDxfId="74" dataCellStyle="Normal_Sheet1"/>
    <tableColumn id="5" name="PEOPLE IN NEED" dataDxfId="73" totalsRowDxfId="72" dataCellStyle="Comma"/>
    <tableColumn id="6" name="Target" dataDxfId="71" totalsRowDxfId="70" dataCellStyle="Comma"/>
    <tableColumn id="7" name="NFI" totalsRowFunction="custom" dataDxfId="69" totalsRowDxfId="68" dataCellStyle="Percent">
      <totalsRowFormula>E21/D21</totalsRowFormula>
    </tableColumn>
    <tableColumn id="12" name="Shelter" totalsRowFunction="custom" dataDxfId="67" totalsRowDxfId="66" dataCellStyle="Percent">
      <calculatedColumnFormula>Table14235694810111213[[#This Row],[Emergency Shelter]]+Table14235694810111213[[#This Row],[Shelter Upgrade/Repair]]+Table14235694810111213[[#This Row],[Shelter and housing options]]</calculatedColumnFormula>
      <totalsRowFormula>F21/D21</totalsRowFormula>
    </tableColumn>
    <tableColumn id="8" name="Emergency NFI" dataDxfId="65" totalsRowDxfId="64"/>
    <tableColumn id="3" name="Emergency Shelter" dataDxfId="63" totalsRowDxfId="62" dataCellStyle="Comma"/>
    <tableColumn id="9" name="NFI Replenishment " dataDxfId="61" totalsRowDxfId="60"/>
    <tableColumn id="4" name="Shelter Upgrade/Repair" dataDxfId="59" totalsRowDxfId="58" dataCellStyle="Comma"/>
    <tableColumn id="10" name="NFI3" dataDxfId="57" totalsRowDxfId="56"/>
    <tableColumn id="11" name="Shelter and housing options" dataDxfId="55" totalsRowDxfId="54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13" name="Table1423569481011121314" displayName="Table1423569481011121314" ref="A2:L23" totalsRowCount="1" headerRowDxfId="53" dataDxfId="52" totalsRowBorderDxfId="51">
  <autoFilter ref="A2:L22"/>
  <sortState ref="A3:H20">
    <sortCondition ref="A1:A19"/>
  </sortState>
  <tableColumns count="12">
    <tableColumn id="1" name="Governerate" dataDxfId="50" totalsRowDxfId="49" dataCellStyle="Normal_Sheet1"/>
    <tableColumn id="2" name="Admin 1 Code" dataDxfId="48" totalsRowDxfId="47" dataCellStyle="Normal_Sheet1"/>
    <tableColumn id="5" name="PEOPLE IN NEED" dataDxfId="46" totalsRowDxfId="45" dataCellStyle="Comma"/>
    <tableColumn id="6" name="Target" dataDxfId="44" totalsRowDxfId="43" dataCellStyle="Comma"/>
    <tableColumn id="7" name="NFI" totalsRowFunction="custom" dataDxfId="42" totalsRowDxfId="41" dataCellStyle="Percent">
      <totalsRowFormula>E21/D21</totalsRowFormula>
    </tableColumn>
    <tableColumn id="12" name="Shelter" totalsRowFunction="custom" dataDxfId="40" totalsRowDxfId="39" dataCellStyle="Percent">
      <calculatedColumnFormula>Table1423569481011121314[[#This Row],[Emergency Shelter]]+Table1423569481011121314[[#This Row],[Shelter Upgrade/Repair]]+Table1423569481011121314[[#This Row],[Shelter and housing options]]</calculatedColumnFormula>
      <totalsRowFormula>F21/D21</totalsRowFormula>
    </tableColumn>
    <tableColumn id="8" name="Emergency NFI" dataDxfId="38" totalsRowDxfId="37"/>
    <tableColumn id="3" name="Emergency Shelter" dataDxfId="36" totalsRowDxfId="35" dataCellStyle="Comma"/>
    <tableColumn id="9" name="NFI Replenishment " dataDxfId="34" totalsRowDxfId="33"/>
    <tableColumn id="4" name="Shelter Upgrade/Repair" dataDxfId="32" totalsRowDxfId="31" dataCellStyle="Comma"/>
    <tableColumn id="10" name="NFI3" dataDxfId="30" totalsRowDxfId="29"/>
    <tableColumn id="11" name="Shelter and housing options" dataDxfId="28" totalsRowDxfId="27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1" name="Table14235694810111213142" displayName="Table14235694810111213142" ref="A2:L23" totalsRowCount="1" headerRowDxfId="26" dataDxfId="25" totalsRowBorderDxfId="24">
  <autoFilter ref="A2:L22"/>
  <sortState ref="A3:H20">
    <sortCondition ref="A1:A19"/>
  </sortState>
  <tableColumns count="12">
    <tableColumn id="1" name="Governerate" dataDxfId="23" totalsRowDxfId="22" dataCellStyle="Normal_Sheet1"/>
    <tableColumn id="2" name="Admin 1 Code" dataDxfId="21" totalsRowDxfId="20" dataCellStyle="Normal_Sheet1"/>
    <tableColumn id="5" name="PEOPLE IN NEED" dataDxfId="19" totalsRowDxfId="18" dataCellStyle="Comma"/>
    <tableColumn id="6" name="Target" dataDxfId="17" totalsRowDxfId="16" dataCellStyle="Comma"/>
    <tableColumn id="7" name="NFI" totalsRowFunction="custom" dataDxfId="15" totalsRowDxfId="14" dataCellStyle="Percent">
      <totalsRowFormula>E21/D21</totalsRowFormula>
    </tableColumn>
    <tableColumn id="12" name="Shelter" totalsRowFunction="custom" dataDxfId="13" totalsRowDxfId="12" dataCellStyle="Percent">
      <calculatedColumnFormula>Table14235694810111213142[[#This Row],[Emergency Shelter]]+Table14235694810111213142[[#This Row],[Shelter Upgrade/Repair]]+Table14235694810111213142[[#This Row],[Shelter and housing options]]</calculatedColumnFormula>
      <totalsRowFormula>F21/D21</totalsRowFormula>
    </tableColumn>
    <tableColumn id="8" name="Emergency NFI" dataDxfId="11" totalsRowDxfId="10"/>
    <tableColumn id="3" name="Emergency Shelter" dataDxfId="9" totalsRowDxfId="8" dataCellStyle="Comma"/>
    <tableColumn id="9" name="NFI Replenishment " dataDxfId="7" totalsRowDxfId="6"/>
    <tableColumn id="4" name="Shelter Upgrade/Repair" dataDxfId="5" totalsRowDxfId="4" dataCellStyle="Comma"/>
    <tableColumn id="10" name="NFI3" dataDxfId="3" totalsRowDxfId="2"/>
    <tableColumn id="11" name="Shelter and housing options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ord2.iraq@sheltercluster.org" TargetMode="External"/><Relationship Id="rId1" Type="http://schemas.openxmlformats.org/officeDocument/2006/relationships/hyperlink" Target="mailto:coord.iraq@sheltercluster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showGridLines="0" zoomScale="80" zoomScaleNormal="80" workbookViewId="0">
      <selection activeCell="C53" sqref="C53"/>
    </sheetView>
  </sheetViews>
  <sheetFormatPr defaultRowHeight="12.75" x14ac:dyDescent="0.2"/>
  <cols>
    <col min="1" max="1" width="36.42578125" style="45" customWidth="1"/>
    <col min="2" max="4" width="19.140625" style="45" customWidth="1"/>
    <col min="5" max="5" width="20.7109375" style="45" customWidth="1"/>
    <col min="6" max="6" width="11.28515625" style="45" bestFit="1" customWidth="1"/>
    <col min="7" max="16384" width="9.140625" style="45"/>
  </cols>
  <sheetData>
    <row r="1" spans="1:6" ht="21.75" customHeight="1" x14ac:dyDescent="0.2">
      <c r="A1" s="43"/>
      <c r="B1" s="17" t="s">
        <v>45</v>
      </c>
      <c r="C1" s="18" t="s">
        <v>46</v>
      </c>
      <c r="D1" s="18" t="s">
        <v>47</v>
      </c>
      <c r="E1" s="44" t="s">
        <v>66</v>
      </c>
      <c r="F1" s="57" t="s">
        <v>68</v>
      </c>
    </row>
    <row r="2" spans="1:6" x14ac:dyDescent="0.2">
      <c r="A2" s="43" t="s">
        <v>48</v>
      </c>
      <c r="B2" s="46">
        <v>1130591</v>
      </c>
      <c r="C2" s="46">
        <v>546892</v>
      </c>
      <c r="D2" s="46">
        <v>648858</v>
      </c>
      <c r="E2" s="47">
        <f>SUM(B2:D2)</f>
        <v>2326341</v>
      </c>
      <c r="F2" s="58">
        <f>E2/6</f>
        <v>387723.5</v>
      </c>
    </row>
    <row r="3" spans="1:6" x14ac:dyDescent="0.2">
      <c r="A3" s="114" t="s">
        <v>49</v>
      </c>
      <c r="B3" s="115">
        <v>29</v>
      </c>
      <c r="C3" s="115">
        <v>13</v>
      </c>
      <c r="D3" s="115">
        <v>25</v>
      </c>
      <c r="E3" s="48"/>
    </row>
    <row r="4" spans="1:6" x14ac:dyDescent="0.2">
      <c r="A4" s="114"/>
      <c r="B4" s="115"/>
      <c r="C4" s="115"/>
      <c r="D4" s="115"/>
      <c r="E4" s="48"/>
    </row>
    <row r="5" spans="1:6" x14ac:dyDescent="0.2">
      <c r="A5" s="43" t="s">
        <v>50</v>
      </c>
      <c r="B5" s="49">
        <v>73879938</v>
      </c>
      <c r="C5" s="49">
        <v>41918452</v>
      </c>
      <c r="D5" s="49">
        <v>59515318</v>
      </c>
      <c r="E5" s="107">
        <f>SUM(B5:D5)</f>
        <v>175313708</v>
      </c>
    </row>
    <row r="6" spans="1:6" x14ac:dyDescent="0.2">
      <c r="A6" s="114" t="s">
        <v>51</v>
      </c>
      <c r="B6" s="116" t="s">
        <v>52</v>
      </c>
      <c r="C6" s="116"/>
      <c r="D6" s="116"/>
      <c r="E6" s="48"/>
    </row>
    <row r="7" spans="1:6" x14ac:dyDescent="0.2">
      <c r="A7" s="114"/>
      <c r="B7" s="117" t="s">
        <v>53</v>
      </c>
      <c r="C7" s="117"/>
      <c r="D7" s="117"/>
      <c r="E7" s="48"/>
    </row>
    <row r="8" spans="1:6" x14ac:dyDescent="0.2">
      <c r="A8" s="114"/>
      <c r="B8" s="116"/>
      <c r="C8" s="116"/>
      <c r="D8" s="116"/>
      <c r="E8" s="48"/>
    </row>
    <row r="9" spans="1:6" x14ac:dyDescent="0.2">
      <c r="A9" s="114" t="s">
        <v>54</v>
      </c>
      <c r="B9" s="116" t="s">
        <v>55</v>
      </c>
      <c r="C9" s="116"/>
      <c r="D9" s="116"/>
      <c r="E9" s="48"/>
    </row>
    <row r="10" spans="1:6" x14ac:dyDescent="0.2">
      <c r="A10" s="114"/>
      <c r="B10" s="117" t="s">
        <v>56</v>
      </c>
      <c r="C10" s="117"/>
      <c r="D10" s="117"/>
      <c r="E10" s="48"/>
    </row>
    <row r="11" spans="1:6" x14ac:dyDescent="0.2">
      <c r="A11" s="114"/>
      <c r="B11" s="116"/>
      <c r="C11" s="116"/>
      <c r="D11" s="116"/>
      <c r="E11" s="50"/>
    </row>
    <row r="13" spans="1:6" hidden="1" x14ac:dyDescent="0.2"/>
    <row r="14" spans="1:6" hidden="1" x14ac:dyDescent="0.2">
      <c r="B14" s="118" t="s">
        <v>67</v>
      </c>
      <c r="C14" s="119"/>
    </row>
    <row r="15" spans="1:6" hidden="1" x14ac:dyDescent="0.2">
      <c r="B15" s="59" t="s">
        <v>64</v>
      </c>
      <c r="C15" s="64" t="s">
        <v>65</v>
      </c>
      <c r="D15" s="54" t="s">
        <v>57</v>
      </c>
    </row>
    <row r="16" spans="1:6" hidden="1" x14ac:dyDescent="0.2">
      <c r="A16" s="51" t="s">
        <v>61</v>
      </c>
      <c r="B16" s="60">
        <v>1190204</v>
      </c>
      <c r="C16" s="65">
        <v>344258</v>
      </c>
      <c r="D16" s="55"/>
    </row>
    <row r="17" spans="1:4" hidden="1" x14ac:dyDescent="0.2">
      <c r="A17" s="71" t="s">
        <v>63</v>
      </c>
      <c r="B17" s="72">
        <v>100246</v>
      </c>
      <c r="C17" s="73">
        <v>256530</v>
      </c>
      <c r="D17" s="55"/>
    </row>
    <row r="18" spans="1:4" hidden="1" x14ac:dyDescent="0.2">
      <c r="A18" s="53"/>
      <c r="B18" s="61"/>
      <c r="C18" s="66">
        <v>12234</v>
      </c>
      <c r="D18" s="55"/>
    </row>
    <row r="19" spans="1:4" hidden="1" x14ac:dyDescent="0.2">
      <c r="A19" s="74"/>
      <c r="B19" s="75"/>
      <c r="C19" s="76">
        <v>382978</v>
      </c>
      <c r="D19" s="55"/>
    </row>
    <row r="20" spans="1:4" hidden="1" x14ac:dyDescent="0.2">
      <c r="A20" s="52" t="s">
        <v>62</v>
      </c>
      <c r="B20" s="62"/>
      <c r="C20" s="67">
        <v>41534</v>
      </c>
      <c r="D20" s="55"/>
    </row>
    <row r="21" spans="1:4" hidden="1" x14ac:dyDescent="0.2">
      <c r="B21" s="69">
        <f>SUM(B16:B20)</f>
        <v>1290450</v>
      </c>
      <c r="C21" s="70">
        <f>SUM(C16:C20)</f>
        <v>1037534</v>
      </c>
      <c r="D21" s="56">
        <f>SUM(B21:C21)</f>
        <v>2327984</v>
      </c>
    </row>
    <row r="22" spans="1:4" hidden="1" x14ac:dyDescent="0.2">
      <c r="B22" s="63">
        <f>B21/6</f>
        <v>215075</v>
      </c>
      <c r="C22" s="68">
        <f>C21/6</f>
        <v>172922.33333333334</v>
      </c>
      <c r="D22" s="56">
        <f>D21/6</f>
        <v>387997.33333333331</v>
      </c>
    </row>
    <row r="23" spans="1:4" hidden="1" x14ac:dyDescent="0.2"/>
  </sheetData>
  <mergeCells count="13">
    <mergeCell ref="B14:C14"/>
    <mergeCell ref="A9:A11"/>
    <mergeCell ref="B9:D9"/>
    <mergeCell ref="B10:D10"/>
    <mergeCell ref="B11:D11"/>
    <mergeCell ref="A3:A4"/>
    <mergeCell ref="B3:B4"/>
    <mergeCell ref="C3:C4"/>
    <mergeCell ref="D3:D4"/>
    <mergeCell ref="A6:A8"/>
    <mergeCell ref="B6:D6"/>
    <mergeCell ref="B7:D7"/>
    <mergeCell ref="B8:D8"/>
  </mergeCells>
  <hyperlinks>
    <hyperlink ref="B7" r:id="rId1" display="mailto:coord.iraq@sheltercluster.org"/>
    <hyperlink ref="B10" r:id="rId2" display="mailto:coord2.iraq@sheltercluster.org"/>
  </hyperlinks>
  <pageMargins left="0.7" right="0.7" top="0.75" bottom="0.75" header="0.3" footer="0.3"/>
  <pageSetup paperSize="9" orientation="portrait"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0" zoomScaleNormal="80" workbookViewId="0">
      <selection activeCell="I1" sqref="I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42886</v>
      </c>
    </row>
    <row r="2" spans="1:11" x14ac:dyDescent="0.25">
      <c r="A2" t="s">
        <v>115</v>
      </c>
    </row>
    <row r="4" spans="1:11" ht="15" customHeight="1" x14ac:dyDescent="0.25">
      <c r="A4" s="77" t="s">
        <v>69</v>
      </c>
      <c r="B4" s="144" t="s">
        <v>70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1:11" x14ac:dyDescent="0.25">
      <c r="A5" s="77" t="s">
        <v>71</v>
      </c>
      <c r="B5" s="78" t="s">
        <v>72</v>
      </c>
      <c r="C5" s="78"/>
      <c r="D5" s="82"/>
      <c r="E5" s="83"/>
      <c r="F5" s="83"/>
      <c r="G5" s="83"/>
      <c r="H5" s="84"/>
      <c r="I5" s="139" t="s">
        <v>81</v>
      </c>
      <c r="J5" s="140"/>
      <c r="K5" s="141"/>
    </row>
    <row r="6" spans="1:11" ht="15" customHeight="1" x14ac:dyDescent="0.25">
      <c r="A6" s="122" t="s">
        <v>73</v>
      </c>
      <c r="B6" s="123" t="s">
        <v>74</v>
      </c>
      <c r="C6" s="122" t="s">
        <v>75</v>
      </c>
      <c r="D6" s="122" t="s">
        <v>76</v>
      </c>
      <c r="E6" s="79" t="s">
        <v>77</v>
      </c>
      <c r="F6" s="123" t="s">
        <v>39</v>
      </c>
      <c r="G6" s="123" t="s">
        <v>79</v>
      </c>
      <c r="H6" s="123" t="s">
        <v>80</v>
      </c>
      <c r="I6" s="134" t="s">
        <v>116</v>
      </c>
      <c r="J6" s="137" t="s">
        <v>117</v>
      </c>
      <c r="K6" s="142" t="s">
        <v>134</v>
      </c>
    </row>
    <row r="7" spans="1:11" x14ac:dyDescent="0.25">
      <c r="A7" s="122"/>
      <c r="B7" s="123"/>
      <c r="C7" s="122"/>
      <c r="D7" s="122"/>
      <c r="E7" s="79" t="s">
        <v>78</v>
      </c>
      <c r="F7" s="123"/>
      <c r="G7" s="123"/>
      <c r="H7" s="123"/>
      <c r="I7" s="134"/>
      <c r="J7" s="137"/>
      <c r="K7" s="143"/>
    </row>
    <row r="8" spans="1:11" x14ac:dyDescent="0.25">
      <c r="A8" s="129" t="s">
        <v>82</v>
      </c>
      <c r="B8" s="129" t="s">
        <v>83</v>
      </c>
      <c r="C8" s="130" t="s">
        <v>84</v>
      </c>
      <c r="D8" s="131" t="s">
        <v>85</v>
      </c>
      <c r="E8" s="132" t="s">
        <v>86</v>
      </c>
      <c r="F8" s="133">
        <v>344258</v>
      </c>
      <c r="G8" s="128">
        <v>0.45</v>
      </c>
      <c r="H8" s="128">
        <v>0.55000000000000004</v>
      </c>
      <c r="I8" s="147">
        <v>61875</v>
      </c>
      <c r="J8" s="149">
        <f>I8*6</f>
        <v>371250</v>
      </c>
      <c r="K8" s="151">
        <f>J8/F8</f>
        <v>1.0784063115454108</v>
      </c>
    </row>
    <row r="9" spans="1:11" x14ac:dyDescent="0.25">
      <c r="A9" s="129"/>
      <c r="B9" s="129"/>
      <c r="C9" s="130"/>
      <c r="D9" s="131"/>
      <c r="E9" s="132"/>
      <c r="F9" s="133"/>
      <c r="G9" s="128"/>
      <c r="H9" s="128"/>
      <c r="I9" s="148"/>
      <c r="J9" s="150"/>
      <c r="K9" s="152"/>
    </row>
    <row r="10" spans="1:11" x14ac:dyDescent="0.25">
      <c r="A10" s="129" t="s">
        <v>87</v>
      </c>
      <c r="B10" s="129" t="s">
        <v>88</v>
      </c>
      <c r="C10" s="130" t="s">
        <v>89</v>
      </c>
      <c r="D10" s="131" t="s">
        <v>85</v>
      </c>
      <c r="E10" s="132" t="s">
        <v>90</v>
      </c>
      <c r="F10" s="133">
        <v>1190204</v>
      </c>
      <c r="G10" s="128">
        <v>0.45</v>
      </c>
      <c r="H10" s="128">
        <v>0.55000000000000004</v>
      </c>
      <c r="I10" s="147">
        <v>173417</v>
      </c>
      <c r="J10" s="149">
        <f>I10*6</f>
        <v>1040502</v>
      </c>
      <c r="K10" s="151">
        <f>J10/F10</f>
        <v>0.87422156201793977</v>
      </c>
    </row>
    <row r="11" spans="1:11" x14ac:dyDescent="0.25">
      <c r="A11" s="129"/>
      <c r="B11" s="129"/>
      <c r="C11" s="130"/>
      <c r="D11" s="131"/>
      <c r="E11" s="132"/>
      <c r="F11" s="133"/>
      <c r="G11" s="128"/>
      <c r="H11" s="128"/>
      <c r="I11" s="148"/>
      <c r="J11" s="150"/>
      <c r="K11" s="152"/>
    </row>
    <row r="12" spans="1:11" x14ac:dyDescent="0.25">
      <c r="J12" s="81"/>
    </row>
    <row r="13" spans="1:11" ht="15" customHeight="1" x14ac:dyDescent="0.25">
      <c r="A13" s="77" t="s">
        <v>91</v>
      </c>
      <c r="B13" s="144" t="s">
        <v>92</v>
      </c>
      <c r="C13" s="145"/>
      <c r="D13" s="145"/>
      <c r="E13" s="145"/>
      <c r="F13" s="145"/>
      <c r="G13" s="145"/>
      <c r="H13" s="145"/>
      <c r="I13" s="145"/>
      <c r="J13" s="145"/>
      <c r="K13" s="146"/>
    </row>
    <row r="14" spans="1:11" x14ac:dyDescent="0.25">
      <c r="A14" s="77" t="s">
        <v>71</v>
      </c>
      <c r="B14" s="78" t="s">
        <v>93</v>
      </c>
      <c r="C14" s="78"/>
      <c r="D14" s="138"/>
      <c r="E14" s="138"/>
      <c r="F14" s="138"/>
      <c r="G14" s="138"/>
      <c r="H14" s="138"/>
      <c r="I14" s="139" t="s">
        <v>81</v>
      </c>
      <c r="J14" s="140"/>
      <c r="K14" s="141"/>
    </row>
    <row r="15" spans="1:11" ht="15" customHeight="1" x14ac:dyDescent="0.25">
      <c r="A15" s="122" t="s">
        <v>73</v>
      </c>
      <c r="B15" s="123" t="s">
        <v>74</v>
      </c>
      <c r="C15" s="122" t="s">
        <v>75</v>
      </c>
      <c r="D15" s="124" t="s">
        <v>76</v>
      </c>
      <c r="E15" s="79" t="s">
        <v>77</v>
      </c>
      <c r="F15" s="126" t="s">
        <v>39</v>
      </c>
      <c r="G15" s="126" t="s">
        <v>79</v>
      </c>
      <c r="H15" s="126" t="s">
        <v>80</v>
      </c>
      <c r="I15" s="134" t="s">
        <v>116</v>
      </c>
      <c r="J15" s="137" t="s">
        <v>117</v>
      </c>
      <c r="K15" s="142" t="s">
        <v>134</v>
      </c>
    </row>
    <row r="16" spans="1:11" x14ac:dyDescent="0.25">
      <c r="A16" s="122"/>
      <c r="B16" s="123"/>
      <c r="C16" s="122"/>
      <c r="D16" s="125"/>
      <c r="E16" s="79" t="s">
        <v>78</v>
      </c>
      <c r="F16" s="127"/>
      <c r="G16" s="127"/>
      <c r="H16" s="127"/>
      <c r="I16" s="134"/>
      <c r="J16" s="137"/>
      <c r="K16" s="143"/>
    </row>
    <row r="17" spans="1:11" x14ac:dyDescent="0.25">
      <c r="A17" s="129" t="s">
        <v>94</v>
      </c>
      <c r="B17" s="129" t="s">
        <v>95</v>
      </c>
      <c r="C17" s="130" t="s">
        <v>96</v>
      </c>
      <c r="D17" s="131" t="s">
        <v>85</v>
      </c>
      <c r="E17" s="132" t="s">
        <v>97</v>
      </c>
      <c r="F17" s="133">
        <v>256530</v>
      </c>
      <c r="G17" s="128">
        <v>0.45</v>
      </c>
      <c r="H17" s="128">
        <v>0.55000000000000004</v>
      </c>
      <c r="I17" s="149">
        <v>28</v>
      </c>
      <c r="J17" s="149">
        <f>I17*6</f>
        <v>168</v>
      </c>
      <c r="K17" s="153">
        <f>J17/F17</f>
        <v>6.548941644252134E-4</v>
      </c>
    </row>
    <row r="18" spans="1:11" x14ac:dyDescent="0.25">
      <c r="A18" s="129"/>
      <c r="B18" s="129"/>
      <c r="C18" s="130"/>
      <c r="D18" s="131"/>
      <c r="E18" s="132"/>
      <c r="F18" s="133"/>
      <c r="G18" s="128"/>
      <c r="H18" s="128"/>
      <c r="I18" s="150"/>
      <c r="J18" s="150"/>
      <c r="K18" s="154"/>
    </row>
    <row r="19" spans="1:11" x14ac:dyDescent="0.25">
      <c r="A19" s="129" t="s">
        <v>98</v>
      </c>
      <c r="B19" s="129" t="s">
        <v>99</v>
      </c>
      <c r="C19" s="130" t="s">
        <v>96</v>
      </c>
      <c r="D19" s="131" t="s">
        <v>85</v>
      </c>
      <c r="E19" s="132" t="s">
        <v>100</v>
      </c>
      <c r="F19" s="133">
        <v>12234</v>
      </c>
      <c r="G19" s="128">
        <v>0.45</v>
      </c>
      <c r="H19" s="128">
        <v>0.55000000000000004</v>
      </c>
      <c r="I19" s="149">
        <v>1030</v>
      </c>
      <c r="J19" s="149">
        <f>I19*6</f>
        <v>6180</v>
      </c>
      <c r="K19" s="151">
        <f t="shared" ref="K19" si="0">J19/F19</f>
        <v>0.50514958312898484</v>
      </c>
    </row>
    <row r="20" spans="1:11" x14ac:dyDescent="0.25">
      <c r="A20" s="129"/>
      <c r="B20" s="129"/>
      <c r="C20" s="130"/>
      <c r="D20" s="131"/>
      <c r="E20" s="132"/>
      <c r="F20" s="133"/>
      <c r="G20" s="128"/>
      <c r="H20" s="128"/>
      <c r="I20" s="150"/>
      <c r="J20" s="150"/>
      <c r="K20" s="152"/>
    </row>
    <row r="21" spans="1:11" x14ac:dyDescent="0.25">
      <c r="A21" s="129" t="s">
        <v>101</v>
      </c>
      <c r="B21" s="129" t="s">
        <v>102</v>
      </c>
      <c r="C21" s="130" t="s">
        <v>89</v>
      </c>
      <c r="D21" s="131" t="s">
        <v>85</v>
      </c>
      <c r="E21" s="132" t="s">
        <v>103</v>
      </c>
      <c r="F21" s="133">
        <v>382978</v>
      </c>
      <c r="G21" s="128">
        <v>0.45</v>
      </c>
      <c r="H21" s="128">
        <v>0.55000000000000004</v>
      </c>
      <c r="I21" s="149">
        <v>18806</v>
      </c>
      <c r="J21" s="149">
        <f>I21*6</f>
        <v>112836</v>
      </c>
      <c r="K21" s="153">
        <f t="shared" ref="K21" si="1">J21/F21</f>
        <v>0.29462788985268085</v>
      </c>
    </row>
    <row r="22" spans="1:11" x14ac:dyDescent="0.25">
      <c r="A22" s="129"/>
      <c r="B22" s="129"/>
      <c r="C22" s="130"/>
      <c r="D22" s="131"/>
      <c r="E22" s="132"/>
      <c r="F22" s="133"/>
      <c r="G22" s="128"/>
      <c r="H22" s="128"/>
      <c r="I22" s="150"/>
      <c r="J22" s="150"/>
      <c r="K22" s="154"/>
    </row>
    <row r="23" spans="1:11" x14ac:dyDescent="0.25">
      <c r="A23" s="129" t="s">
        <v>104</v>
      </c>
      <c r="B23" s="129" t="s">
        <v>105</v>
      </c>
      <c r="C23" s="130" t="s">
        <v>89</v>
      </c>
      <c r="D23" s="131" t="s">
        <v>85</v>
      </c>
      <c r="E23" s="132" t="s">
        <v>106</v>
      </c>
      <c r="F23" s="133">
        <v>100246</v>
      </c>
      <c r="G23" s="128">
        <v>0.45</v>
      </c>
      <c r="H23" s="128">
        <v>0.55000000000000004</v>
      </c>
      <c r="I23" s="149">
        <v>1980</v>
      </c>
      <c r="J23" s="149">
        <f>I23*6</f>
        <v>11880</v>
      </c>
      <c r="K23" s="153">
        <f t="shared" ref="K23" si="2">J23/F23</f>
        <v>0.118508469165852</v>
      </c>
    </row>
    <row r="24" spans="1:11" x14ac:dyDescent="0.25">
      <c r="A24" s="129"/>
      <c r="B24" s="129"/>
      <c r="C24" s="130"/>
      <c r="D24" s="131"/>
      <c r="E24" s="132"/>
      <c r="F24" s="133"/>
      <c r="G24" s="128"/>
      <c r="H24" s="128"/>
      <c r="I24" s="150"/>
      <c r="J24" s="150"/>
      <c r="K24" s="154"/>
    </row>
    <row r="25" spans="1:11" x14ac:dyDescent="0.25">
      <c r="J25" s="81"/>
    </row>
    <row r="26" spans="1:11" ht="15" customHeight="1" x14ac:dyDescent="0.25">
      <c r="A26" s="77" t="s">
        <v>107</v>
      </c>
      <c r="B26" s="144" t="s">
        <v>108</v>
      </c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1" x14ac:dyDescent="0.25">
      <c r="A27" s="77" t="s">
        <v>71</v>
      </c>
      <c r="B27" s="78" t="s">
        <v>109</v>
      </c>
      <c r="C27" s="78"/>
      <c r="D27" s="138"/>
      <c r="E27" s="138"/>
      <c r="F27" s="138"/>
      <c r="G27" s="138"/>
      <c r="H27" s="138"/>
      <c r="I27" s="139" t="s">
        <v>81</v>
      </c>
      <c r="J27" s="140"/>
      <c r="K27" s="141"/>
    </row>
    <row r="28" spans="1:11" ht="15" customHeight="1" x14ac:dyDescent="0.25">
      <c r="A28" s="122" t="s">
        <v>73</v>
      </c>
      <c r="B28" s="123" t="s">
        <v>74</v>
      </c>
      <c r="C28" s="122" t="s">
        <v>75</v>
      </c>
      <c r="D28" s="122" t="s">
        <v>76</v>
      </c>
      <c r="E28" s="79" t="s">
        <v>77</v>
      </c>
      <c r="F28" s="123" t="s">
        <v>39</v>
      </c>
      <c r="G28" s="123" t="s">
        <v>79</v>
      </c>
      <c r="H28" s="123" t="s">
        <v>80</v>
      </c>
      <c r="I28" s="134" t="s">
        <v>116</v>
      </c>
      <c r="J28" s="137" t="s">
        <v>117</v>
      </c>
      <c r="K28" s="142" t="s">
        <v>134</v>
      </c>
    </row>
    <row r="29" spans="1:11" x14ac:dyDescent="0.25">
      <c r="A29" s="122"/>
      <c r="B29" s="123"/>
      <c r="C29" s="122"/>
      <c r="D29" s="122"/>
      <c r="E29" s="79" t="s">
        <v>78</v>
      </c>
      <c r="F29" s="123"/>
      <c r="G29" s="123"/>
      <c r="H29" s="123"/>
      <c r="I29" s="134"/>
      <c r="J29" s="137"/>
      <c r="K29" s="143"/>
    </row>
    <row r="30" spans="1:11" x14ac:dyDescent="0.25">
      <c r="A30" s="135" t="s">
        <v>110</v>
      </c>
      <c r="B30" s="129" t="s">
        <v>111</v>
      </c>
      <c r="C30" s="130" t="s">
        <v>89</v>
      </c>
      <c r="D30" s="131" t="s">
        <v>112</v>
      </c>
      <c r="E30" s="132" t="s">
        <v>113</v>
      </c>
      <c r="F30" s="133">
        <v>41534</v>
      </c>
      <c r="G30" s="128">
        <v>0.45</v>
      </c>
      <c r="H30" s="128">
        <v>0.55000000000000004</v>
      </c>
      <c r="I30" s="149">
        <v>909</v>
      </c>
      <c r="J30" s="149">
        <f>I30*6</f>
        <v>5454</v>
      </c>
      <c r="K30" s="153">
        <f t="shared" ref="K30" si="3">J30/F30</f>
        <v>0.13131410410747821</v>
      </c>
    </row>
    <row r="31" spans="1:11" x14ac:dyDescent="0.25">
      <c r="A31" s="136"/>
      <c r="B31" s="129"/>
      <c r="C31" s="130"/>
      <c r="D31" s="131"/>
      <c r="E31" s="132"/>
      <c r="F31" s="133"/>
      <c r="G31" s="128"/>
      <c r="H31" s="128"/>
      <c r="I31" s="150"/>
      <c r="J31" s="150"/>
      <c r="K31" s="154"/>
    </row>
  </sheetData>
  <mergeCells count="115">
    <mergeCell ref="I30:I31"/>
    <mergeCell ref="B26:K26"/>
    <mergeCell ref="J28:J29"/>
    <mergeCell ref="K28:K29"/>
    <mergeCell ref="J30:J31"/>
    <mergeCell ref="K17:K18"/>
    <mergeCell ref="K19:K20"/>
    <mergeCell ref="K21:K22"/>
    <mergeCell ref="K23:K24"/>
    <mergeCell ref="K30:K31"/>
    <mergeCell ref="J23:J24"/>
    <mergeCell ref="I17:I18"/>
    <mergeCell ref="I19:I20"/>
    <mergeCell ref="I21:I22"/>
    <mergeCell ref="I23:I24"/>
    <mergeCell ref="D27:H27"/>
    <mergeCell ref="I27:K27"/>
    <mergeCell ref="G30:G31"/>
    <mergeCell ref="H30:H31"/>
    <mergeCell ref="J17:J18"/>
    <mergeCell ref="J19:J20"/>
    <mergeCell ref="J21:J22"/>
    <mergeCell ref="G28:G29"/>
    <mergeCell ref="H28:H29"/>
    <mergeCell ref="J15:J16"/>
    <mergeCell ref="D14:H14"/>
    <mergeCell ref="I14:K14"/>
    <mergeCell ref="K15:K16"/>
    <mergeCell ref="B4:K4"/>
    <mergeCell ref="I8:I9"/>
    <mergeCell ref="J8:J9"/>
    <mergeCell ref="K8:K9"/>
    <mergeCell ref="I10:I11"/>
    <mergeCell ref="J10:J11"/>
    <mergeCell ref="K10:K11"/>
    <mergeCell ref="J6:J7"/>
    <mergeCell ref="K6:K7"/>
    <mergeCell ref="I5:K5"/>
    <mergeCell ref="B13:K13"/>
    <mergeCell ref="G10:G11"/>
    <mergeCell ref="H10:H11"/>
    <mergeCell ref="I6:I7"/>
    <mergeCell ref="I15:I16"/>
    <mergeCell ref="C8:C9"/>
    <mergeCell ref="D8:D9"/>
    <mergeCell ref="E8:E9"/>
    <mergeCell ref="F8:F9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F28:F29"/>
    <mergeCell ref="I28:I29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6:A7"/>
    <mergeCell ref="B6:B7"/>
    <mergeCell ref="C6:C7"/>
    <mergeCell ref="D6:D7"/>
    <mergeCell ref="F6:F7"/>
    <mergeCell ref="G6:G7"/>
    <mergeCell ref="H6:H7"/>
    <mergeCell ref="A15:A16"/>
    <mergeCell ref="B15:B16"/>
    <mergeCell ref="C15:C16"/>
    <mergeCell ref="D15:D16"/>
    <mergeCell ref="F15:F16"/>
    <mergeCell ref="G15:G16"/>
    <mergeCell ref="H15:H16"/>
    <mergeCell ref="G8:G9"/>
    <mergeCell ref="H8:H9"/>
    <mergeCell ref="A10:A11"/>
    <mergeCell ref="B10:B11"/>
    <mergeCell ref="C10:C11"/>
    <mergeCell ref="D10:D11"/>
    <mergeCell ref="E10:E11"/>
    <mergeCell ref="F10:F11"/>
    <mergeCell ref="A8:A9"/>
    <mergeCell ref="B8:B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zoomScale="80" zoomScaleNormal="80" workbookViewId="0">
      <selection activeCell="I1" sqref="I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42916</v>
      </c>
    </row>
    <row r="2" spans="1:11" x14ac:dyDescent="0.25">
      <c r="A2" t="s">
        <v>115</v>
      </c>
    </row>
    <row r="4" spans="1:11" ht="15" customHeight="1" x14ac:dyDescent="0.25">
      <c r="A4" s="88" t="s">
        <v>69</v>
      </c>
      <c r="B4" s="144" t="s">
        <v>70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1:11" x14ac:dyDescent="0.25">
      <c r="A5" s="88" t="s">
        <v>71</v>
      </c>
      <c r="B5" s="78" t="s">
        <v>72</v>
      </c>
      <c r="C5" s="78"/>
      <c r="D5" s="82"/>
      <c r="E5" s="83"/>
      <c r="F5" s="83"/>
      <c r="G5" s="83"/>
      <c r="H5" s="84"/>
      <c r="I5" s="139" t="s">
        <v>81</v>
      </c>
      <c r="J5" s="140"/>
      <c r="K5" s="141"/>
    </row>
    <row r="6" spans="1:11" ht="15" customHeight="1" x14ac:dyDescent="0.25">
      <c r="A6" s="122" t="s">
        <v>73</v>
      </c>
      <c r="B6" s="123" t="s">
        <v>74</v>
      </c>
      <c r="C6" s="122" t="s">
        <v>75</v>
      </c>
      <c r="D6" s="122" t="s">
        <v>76</v>
      </c>
      <c r="E6" s="87" t="s">
        <v>77</v>
      </c>
      <c r="F6" s="123" t="s">
        <v>39</v>
      </c>
      <c r="G6" s="123" t="s">
        <v>79</v>
      </c>
      <c r="H6" s="123" t="s">
        <v>80</v>
      </c>
      <c r="I6" s="134" t="s">
        <v>116</v>
      </c>
      <c r="J6" s="137" t="s">
        <v>117</v>
      </c>
      <c r="K6" s="142" t="s">
        <v>134</v>
      </c>
    </row>
    <row r="7" spans="1:11" x14ac:dyDescent="0.25">
      <c r="A7" s="122"/>
      <c r="B7" s="123"/>
      <c r="C7" s="122"/>
      <c r="D7" s="122"/>
      <c r="E7" s="87" t="s">
        <v>78</v>
      </c>
      <c r="F7" s="123"/>
      <c r="G7" s="123"/>
      <c r="H7" s="123"/>
      <c r="I7" s="134"/>
      <c r="J7" s="137"/>
      <c r="K7" s="143"/>
    </row>
    <row r="8" spans="1:11" x14ac:dyDescent="0.25">
      <c r="A8" s="129" t="s">
        <v>82</v>
      </c>
      <c r="B8" s="129" t="s">
        <v>83</v>
      </c>
      <c r="C8" s="130" t="s">
        <v>84</v>
      </c>
      <c r="D8" s="131" t="s">
        <v>85</v>
      </c>
      <c r="E8" s="132" t="s">
        <v>86</v>
      </c>
      <c r="F8" s="133">
        <v>344258</v>
      </c>
      <c r="G8" s="128">
        <v>0.45</v>
      </c>
      <c r="H8" s="128">
        <v>0.55000000000000004</v>
      </c>
      <c r="I8" s="147">
        <v>63591</v>
      </c>
      <c r="J8" s="149">
        <f>I8*6</f>
        <v>381546</v>
      </c>
      <c r="K8" s="151">
        <f>J8/F8</f>
        <v>1.10831411325227</v>
      </c>
    </row>
    <row r="9" spans="1:11" x14ac:dyDescent="0.25">
      <c r="A9" s="129"/>
      <c r="B9" s="129"/>
      <c r="C9" s="130"/>
      <c r="D9" s="131"/>
      <c r="E9" s="132"/>
      <c r="F9" s="133"/>
      <c r="G9" s="128"/>
      <c r="H9" s="128"/>
      <c r="I9" s="148"/>
      <c r="J9" s="150"/>
      <c r="K9" s="152"/>
    </row>
    <row r="10" spans="1:11" x14ac:dyDescent="0.25">
      <c r="A10" s="129" t="s">
        <v>87</v>
      </c>
      <c r="B10" s="129" t="s">
        <v>88</v>
      </c>
      <c r="C10" s="130" t="s">
        <v>89</v>
      </c>
      <c r="D10" s="131" t="s">
        <v>85</v>
      </c>
      <c r="E10" s="132" t="s">
        <v>90</v>
      </c>
      <c r="F10" s="133">
        <v>1190204</v>
      </c>
      <c r="G10" s="128">
        <v>0.45</v>
      </c>
      <c r="H10" s="128">
        <v>0.55000000000000004</v>
      </c>
      <c r="I10" s="147">
        <v>188170</v>
      </c>
      <c r="J10" s="149">
        <f>I10*6</f>
        <v>1129020</v>
      </c>
      <c r="K10" s="151">
        <f>J10/F10</f>
        <v>0.94859368646047237</v>
      </c>
    </row>
    <row r="11" spans="1:11" x14ac:dyDescent="0.25">
      <c r="A11" s="129"/>
      <c r="B11" s="129"/>
      <c r="C11" s="130"/>
      <c r="D11" s="131"/>
      <c r="E11" s="132"/>
      <c r="F11" s="133"/>
      <c r="G11" s="128"/>
      <c r="H11" s="128"/>
      <c r="I11" s="148"/>
      <c r="J11" s="150"/>
      <c r="K11" s="152"/>
    </row>
    <row r="12" spans="1:11" x14ac:dyDescent="0.25">
      <c r="J12" s="81"/>
    </row>
    <row r="13" spans="1:11" ht="15" customHeight="1" x14ac:dyDescent="0.25">
      <c r="A13" s="88" t="s">
        <v>91</v>
      </c>
      <c r="B13" s="144" t="s">
        <v>92</v>
      </c>
      <c r="C13" s="145"/>
      <c r="D13" s="145"/>
      <c r="E13" s="145"/>
      <c r="F13" s="145"/>
      <c r="G13" s="145"/>
      <c r="H13" s="145"/>
      <c r="I13" s="145"/>
      <c r="J13" s="145"/>
      <c r="K13" s="146"/>
    </row>
    <row r="14" spans="1:11" x14ac:dyDescent="0.25">
      <c r="A14" s="88" t="s">
        <v>71</v>
      </c>
      <c r="B14" s="78" t="s">
        <v>93</v>
      </c>
      <c r="C14" s="78"/>
      <c r="D14" s="138"/>
      <c r="E14" s="138"/>
      <c r="F14" s="138"/>
      <c r="G14" s="138"/>
      <c r="H14" s="138"/>
      <c r="I14" s="139" t="s">
        <v>81</v>
      </c>
      <c r="J14" s="140"/>
      <c r="K14" s="141"/>
    </row>
    <row r="15" spans="1:11" ht="15" customHeight="1" x14ac:dyDescent="0.25">
      <c r="A15" s="122" t="s">
        <v>73</v>
      </c>
      <c r="B15" s="123" t="s">
        <v>74</v>
      </c>
      <c r="C15" s="122" t="s">
        <v>75</v>
      </c>
      <c r="D15" s="124" t="s">
        <v>76</v>
      </c>
      <c r="E15" s="87" t="s">
        <v>77</v>
      </c>
      <c r="F15" s="126" t="s">
        <v>39</v>
      </c>
      <c r="G15" s="126" t="s">
        <v>79</v>
      </c>
      <c r="H15" s="126" t="s">
        <v>80</v>
      </c>
      <c r="I15" s="134" t="s">
        <v>116</v>
      </c>
      <c r="J15" s="137" t="s">
        <v>117</v>
      </c>
      <c r="K15" s="142" t="s">
        <v>134</v>
      </c>
    </row>
    <row r="16" spans="1:11" x14ac:dyDescent="0.25">
      <c r="A16" s="122"/>
      <c r="B16" s="123"/>
      <c r="C16" s="122"/>
      <c r="D16" s="125"/>
      <c r="E16" s="87" t="s">
        <v>78</v>
      </c>
      <c r="F16" s="127"/>
      <c r="G16" s="127"/>
      <c r="H16" s="127"/>
      <c r="I16" s="134"/>
      <c r="J16" s="137"/>
      <c r="K16" s="143"/>
    </row>
    <row r="17" spans="1:11" x14ac:dyDescent="0.25">
      <c r="A17" s="129" t="s">
        <v>94</v>
      </c>
      <c r="B17" s="129" t="s">
        <v>95</v>
      </c>
      <c r="C17" s="130" t="s">
        <v>96</v>
      </c>
      <c r="D17" s="131" t="s">
        <v>85</v>
      </c>
      <c r="E17" s="132" t="s">
        <v>97</v>
      </c>
      <c r="F17" s="133">
        <v>256530</v>
      </c>
      <c r="G17" s="128">
        <v>0.45</v>
      </c>
      <c r="H17" s="128">
        <v>0.55000000000000004</v>
      </c>
      <c r="I17" s="149">
        <v>29</v>
      </c>
      <c r="J17" s="149">
        <f>I17*6</f>
        <v>174</v>
      </c>
      <c r="K17" s="153">
        <f>J17/F17</f>
        <v>6.7828324172611385E-4</v>
      </c>
    </row>
    <row r="18" spans="1:11" x14ac:dyDescent="0.25">
      <c r="A18" s="129"/>
      <c r="B18" s="129"/>
      <c r="C18" s="130"/>
      <c r="D18" s="131"/>
      <c r="E18" s="132"/>
      <c r="F18" s="133"/>
      <c r="G18" s="128"/>
      <c r="H18" s="128"/>
      <c r="I18" s="150"/>
      <c r="J18" s="150"/>
      <c r="K18" s="154"/>
    </row>
    <row r="19" spans="1:11" x14ac:dyDescent="0.25">
      <c r="A19" s="129" t="s">
        <v>98</v>
      </c>
      <c r="B19" s="129" t="s">
        <v>99</v>
      </c>
      <c r="C19" s="130" t="s">
        <v>96</v>
      </c>
      <c r="D19" s="131" t="s">
        <v>85</v>
      </c>
      <c r="E19" s="132" t="s">
        <v>100</v>
      </c>
      <c r="F19" s="133">
        <v>12234</v>
      </c>
      <c r="G19" s="128">
        <v>0.45</v>
      </c>
      <c r="H19" s="128">
        <v>0.55000000000000004</v>
      </c>
      <c r="I19" s="149">
        <v>1030</v>
      </c>
      <c r="J19" s="149">
        <f>I19*6</f>
        <v>6180</v>
      </c>
      <c r="K19" s="151">
        <f t="shared" ref="K19" si="0">J19/F19</f>
        <v>0.50514958312898484</v>
      </c>
    </row>
    <row r="20" spans="1:11" x14ac:dyDescent="0.25">
      <c r="A20" s="129"/>
      <c r="B20" s="129"/>
      <c r="C20" s="130"/>
      <c r="D20" s="131"/>
      <c r="E20" s="132"/>
      <c r="F20" s="133"/>
      <c r="G20" s="128"/>
      <c r="H20" s="128"/>
      <c r="I20" s="150"/>
      <c r="J20" s="150"/>
      <c r="K20" s="152"/>
    </row>
    <row r="21" spans="1:11" x14ac:dyDescent="0.25">
      <c r="A21" s="129" t="s">
        <v>101</v>
      </c>
      <c r="B21" s="129" t="s">
        <v>102</v>
      </c>
      <c r="C21" s="130" t="s">
        <v>89</v>
      </c>
      <c r="D21" s="131" t="s">
        <v>85</v>
      </c>
      <c r="E21" s="132" t="s">
        <v>103</v>
      </c>
      <c r="F21" s="133">
        <v>382978</v>
      </c>
      <c r="G21" s="128">
        <v>0.45</v>
      </c>
      <c r="H21" s="128">
        <v>0.55000000000000004</v>
      </c>
      <c r="I21" s="149">
        <v>20711</v>
      </c>
      <c r="J21" s="149">
        <f>I21*6</f>
        <v>124266</v>
      </c>
      <c r="K21" s="153">
        <f t="shared" ref="K21" si="1">J21/F21</f>
        <v>0.32447294622667622</v>
      </c>
    </row>
    <row r="22" spans="1:11" x14ac:dyDescent="0.25">
      <c r="A22" s="129"/>
      <c r="B22" s="129"/>
      <c r="C22" s="130"/>
      <c r="D22" s="131"/>
      <c r="E22" s="132"/>
      <c r="F22" s="133"/>
      <c r="G22" s="128"/>
      <c r="H22" s="128"/>
      <c r="I22" s="150"/>
      <c r="J22" s="150"/>
      <c r="K22" s="154"/>
    </row>
    <row r="23" spans="1:11" x14ac:dyDescent="0.25">
      <c r="A23" s="129" t="s">
        <v>104</v>
      </c>
      <c r="B23" s="129" t="s">
        <v>105</v>
      </c>
      <c r="C23" s="130" t="s">
        <v>89</v>
      </c>
      <c r="D23" s="131" t="s">
        <v>85</v>
      </c>
      <c r="E23" s="132" t="s">
        <v>106</v>
      </c>
      <c r="F23" s="133">
        <v>100246</v>
      </c>
      <c r="G23" s="128">
        <v>0.45</v>
      </c>
      <c r="H23" s="128">
        <v>0.55000000000000004</v>
      </c>
      <c r="I23" s="149">
        <v>2371</v>
      </c>
      <c r="J23" s="149">
        <f>I23*6</f>
        <v>14226</v>
      </c>
      <c r="K23" s="153">
        <f t="shared" ref="K23" si="2">J23/F23</f>
        <v>0.14191089918799751</v>
      </c>
    </row>
    <row r="24" spans="1:11" x14ac:dyDescent="0.25">
      <c r="A24" s="129"/>
      <c r="B24" s="129"/>
      <c r="C24" s="130"/>
      <c r="D24" s="131"/>
      <c r="E24" s="132"/>
      <c r="F24" s="133"/>
      <c r="G24" s="128"/>
      <c r="H24" s="128"/>
      <c r="I24" s="150"/>
      <c r="J24" s="150"/>
      <c r="K24" s="154"/>
    </row>
    <row r="25" spans="1:11" x14ac:dyDescent="0.25">
      <c r="J25" s="81"/>
    </row>
    <row r="26" spans="1:11" ht="15" customHeight="1" x14ac:dyDescent="0.25">
      <c r="A26" s="88" t="s">
        <v>107</v>
      </c>
      <c r="B26" s="144" t="s">
        <v>108</v>
      </c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1" x14ac:dyDescent="0.25">
      <c r="A27" s="88" t="s">
        <v>71</v>
      </c>
      <c r="B27" s="78" t="s">
        <v>109</v>
      </c>
      <c r="C27" s="78"/>
      <c r="D27" s="138"/>
      <c r="E27" s="138"/>
      <c r="F27" s="138"/>
      <c r="G27" s="138"/>
      <c r="H27" s="138"/>
      <c r="I27" s="139" t="s">
        <v>81</v>
      </c>
      <c r="J27" s="140"/>
      <c r="K27" s="141"/>
    </row>
    <row r="28" spans="1:11" ht="15" customHeight="1" x14ac:dyDescent="0.25">
      <c r="A28" s="122" t="s">
        <v>73</v>
      </c>
      <c r="B28" s="123" t="s">
        <v>74</v>
      </c>
      <c r="C28" s="122" t="s">
        <v>75</v>
      </c>
      <c r="D28" s="122" t="s">
        <v>76</v>
      </c>
      <c r="E28" s="87" t="s">
        <v>77</v>
      </c>
      <c r="F28" s="123" t="s">
        <v>39</v>
      </c>
      <c r="G28" s="123" t="s">
        <v>79</v>
      </c>
      <c r="H28" s="123" t="s">
        <v>80</v>
      </c>
      <c r="I28" s="134" t="s">
        <v>116</v>
      </c>
      <c r="J28" s="137" t="s">
        <v>117</v>
      </c>
      <c r="K28" s="142" t="s">
        <v>134</v>
      </c>
    </row>
    <row r="29" spans="1:11" x14ac:dyDescent="0.25">
      <c r="A29" s="122"/>
      <c r="B29" s="123"/>
      <c r="C29" s="122"/>
      <c r="D29" s="122"/>
      <c r="E29" s="87" t="s">
        <v>78</v>
      </c>
      <c r="F29" s="123"/>
      <c r="G29" s="123"/>
      <c r="H29" s="123"/>
      <c r="I29" s="134"/>
      <c r="J29" s="137"/>
      <c r="K29" s="143"/>
    </row>
    <row r="30" spans="1:11" x14ac:dyDescent="0.25">
      <c r="A30" s="135" t="s">
        <v>110</v>
      </c>
      <c r="B30" s="129" t="s">
        <v>111</v>
      </c>
      <c r="C30" s="130" t="s">
        <v>89</v>
      </c>
      <c r="D30" s="131" t="s">
        <v>112</v>
      </c>
      <c r="E30" s="132" t="s">
        <v>113</v>
      </c>
      <c r="F30" s="133">
        <v>41534</v>
      </c>
      <c r="G30" s="128">
        <v>0.45</v>
      </c>
      <c r="H30" s="128">
        <v>0.55000000000000004</v>
      </c>
      <c r="I30" s="149">
        <v>1509</v>
      </c>
      <c r="J30" s="149">
        <f>I30*6</f>
        <v>9054</v>
      </c>
      <c r="K30" s="153">
        <f t="shared" ref="K30" si="3">J30/F30</f>
        <v>0.21799008041604467</v>
      </c>
    </row>
    <row r="31" spans="1:11" x14ac:dyDescent="0.25">
      <c r="A31" s="136"/>
      <c r="B31" s="129"/>
      <c r="C31" s="130"/>
      <c r="D31" s="131"/>
      <c r="E31" s="132"/>
      <c r="F31" s="133"/>
      <c r="G31" s="128"/>
      <c r="H31" s="128"/>
      <c r="I31" s="150"/>
      <c r="J31" s="150"/>
      <c r="K31" s="154"/>
    </row>
  </sheetData>
  <mergeCells count="115"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80" zoomScaleNormal="80" workbookViewId="0">
      <selection activeCell="I1" sqref="I1"/>
    </sheetView>
  </sheetViews>
  <sheetFormatPr defaultRowHeight="15" x14ac:dyDescent="0.25"/>
  <cols>
    <col min="1" max="1" width="47.85546875" style="4" customWidth="1"/>
    <col min="2" max="2" width="51.7109375" style="4" customWidth="1"/>
    <col min="3" max="3" width="32.7109375" style="4" bestFit="1" customWidth="1"/>
    <col min="4" max="5" width="17.85546875" style="4" bestFit="1" customWidth="1"/>
    <col min="6" max="6" width="9.85546875" style="4" bestFit="1" customWidth="1"/>
    <col min="7" max="7" width="5.7109375" style="4" bestFit="1" customWidth="1"/>
    <col min="8" max="8" width="7.85546875" style="4" bestFit="1" customWidth="1"/>
    <col min="9" max="9" width="8.140625" style="4" bestFit="1" customWidth="1"/>
    <col min="10" max="10" width="10.85546875" style="4" bestFit="1" customWidth="1"/>
    <col min="11" max="11" width="13.42578125" style="4" customWidth="1"/>
    <col min="12" max="16384" width="9.140625" style="4"/>
  </cols>
  <sheetData>
    <row r="1" spans="1:11" x14ac:dyDescent="0.25">
      <c r="A1" s="80" t="s">
        <v>114</v>
      </c>
      <c r="J1" s="85" t="s">
        <v>118</v>
      </c>
      <c r="K1" s="86">
        <v>42946</v>
      </c>
    </row>
    <row r="2" spans="1:11" x14ac:dyDescent="0.25">
      <c r="A2" t="s">
        <v>115</v>
      </c>
    </row>
    <row r="4" spans="1:11" ht="15" customHeight="1" x14ac:dyDescent="0.25">
      <c r="A4" s="104" t="s">
        <v>69</v>
      </c>
      <c r="B4" s="144" t="s">
        <v>70</v>
      </c>
      <c r="C4" s="145"/>
      <c r="D4" s="145"/>
      <c r="E4" s="145"/>
      <c r="F4" s="145"/>
      <c r="G4" s="145"/>
      <c r="H4" s="145"/>
      <c r="I4" s="145"/>
      <c r="J4" s="145"/>
      <c r="K4" s="146"/>
    </row>
    <row r="5" spans="1:11" x14ac:dyDescent="0.25">
      <c r="A5" s="104" t="s">
        <v>71</v>
      </c>
      <c r="B5" s="78" t="s">
        <v>72</v>
      </c>
      <c r="C5" s="78"/>
      <c r="D5" s="82"/>
      <c r="E5" s="83"/>
      <c r="F5" s="83"/>
      <c r="G5" s="83"/>
      <c r="H5" s="84"/>
      <c r="I5" s="139" t="s">
        <v>81</v>
      </c>
      <c r="J5" s="140"/>
      <c r="K5" s="141"/>
    </row>
    <row r="6" spans="1:11" ht="15" customHeight="1" x14ac:dyDescent="0.25">
      <c r="A6" s="122" t="s">
        <v>73</v>
      </c>
      <c r="B6" s="123" t="s">
        <v>74</v>
      </c>
      <c r="C6" s="122" t="s">
        <v>75</v>
      </c>
      <c r="D6" s="122" t="s">
        <v>76</v>
      </c>
      <c r="E6" s="105" t="s">
        <v>77</v>
      </c>
      <c r="F6" s="123" t="s">
        <v>39</v>
      </c>
      <c r="G6" s="123" t="s">
        <v>79</v>
      </c>
      <c r="H6" s="123" t="s">
        <v>80</v>
      </c>
      <c r="I6" s="134" t="s">
        <v>116</v>
      </c>
      <c r="J6" s="137" t="s">
        <v>117</v>
      </c>
      <c r="K6" s="142" t="s">
        <v>134</v>
      </c>
    </row>
    <row r="7" spans="1:11" x14ac:dyDescent="0.25">
      <c r="A7" s="122"/>
      <c r="B7" s="123"/>
      <c r="C7" s="122"/>
      <c r="D7" s="122"/>
      <c r="E7" s="105" t="s">
        <v>78</v>
      </c>
      <c r="F7" s="123"/>
      <c r="G7" s="123"/>
      <c r="H7" s="123"/>
      <c r="I7" s="134"/>
      <c r="J7" s="137"/>
      <c r="K7" s="143"/>
    </row>
    <row r="8" spans="1:11" x14ac:dyDescent="0.25">
      <c r="A8" s="129" t="s">
        <v>82</v>
      </c>
      <c r="B8" s="129" t="s">
        <v>83</v>
      </c>
      <c r="C8" s="130" t="s">
        <v>84</v>
      </c>
      <c r="D8" s="131" t="s">
        <v>85</v>
      </c>
      <c r="E8" s="132" t="s">
        <v>86</v>
      </c>
      <c r="F8" s="133">
        <v>344258</v>
      </c>
      <c r="G8" s="128">
        <v>0.45</v>
      </c>
      <c r="H8" s="128">
        <v>0.55000000000000004</v>
      </c>
      <c r="I8" s="147">
        <v>66361</v>
      </c>
      <c r="J8" s="149">
        <f>I8*6</f>
        <v>398166</v>
      </c>
      <c r="K8" s="151">
        <f>J8/F8</f>
        <v>1.1565918584317576</v>
      </c>
    </row>
    <row r="9" spans="1:11" x14ac:dyDescent="0.25">
      <c r="A9" s="129"/>
      <c r="B9" s="129"/>
      <c r="C9" s="130"/>
      <c r="D9" s="131"/>
      <c r="E9" s="132"/>
      <c r="F9" s="133"/>
      <c r="G9" s="128"/>
      <c r="H9" s="128"/>
      <c r="I9" s="148"/>
      <c r="J9" s="150"/>
      <c r="K9" s="152"/>
    </row>
    <row r="10" spans="1:11" x14ac:dyDescent="0.25">
      <c r="A10" s="129" t="s">
        <v>87</v>
      </c>
      <c r="B10" s="129" t="s">
        <v>88</v>
      </c>
      <c r="C10" s="130" t="s">
        <v>89</v>
      </c>
      <c r="D10" s="131" t="s">
        <v>85</v>
      </c>
      <c r="E10" s="132" t="s">
        <v>90</v>
      </c>
      <c r="F10" s="133">
        <v>1190204</v>
      </c>
      <c r="G10" s="128">
        <v>0.45</v>
      </c>
      <c r="H10" s="128">
        <v>0.55000000000000004</v>
      </c>
      <c r="I10" s="147">
        <v>249001</v>
      </c>
      <c r="J10" s="149">
        <f>I10*6</f>
        <v>1494006</v>
      </c>
      <c r="K10" s="151">
        <f>J10/F10</f>
        <v>1.2552520408266146</v>
      </c>
    </row>
    <row r="11" spans="1:11" x14ac:dyDescent="0.25">
      <c r="A11" s="129"/>
      <c r="B11" s="129"/>
      <c r="C11" s="130"/>
      <c r="D11" s="131"/>
      <c r="E11" s="132"/>
      <c r="F11" s="133"/>
      <c r="G11" s="128"/>
      <c r="H11" s="128"/>
      <c r="I11" s="148"/>
      <c r="J11" s="150"/>
      <c r="K11" s="152"/>
    </row>
    <row r="12" spans="1:11" x14ac:dyDescent="0.25">
      <c r="J12" s="81"/>
    </row>
    <row r="13" spans="1:11" ht="15" customHeight="1" x14ac:dyDescent="0.25">
      <c r="A13" s="104" t="s">
        <v>91</v>
      </c>
      <c r="B13" s="144" t="s">
        <v>92</v>
      </c>
      <c r="C13" s="145"/>
      <c r="D13" s="145"/>
      <c r="E13" s="145"/>
      <c r="F13" s="145"/>
      <c r="G13" s="145"/>
      <c r="H13" s="145"/>
      <c r="I13" s="145"/>
      <c r="J13" s="145"/>
      <c r="K13" s="146"/>
    </row>
    <row r="14" spans="1:11" x14ac:dyDescent="0.25">
      <c r="A14" s="104" t="s">
        <v>71</v>
      </c>
      <c r="B14" s="78" t="s">
        <v>93</v>
      </c>
      <c r="C14" s="78"/>
      <c r="D14" s="138"/>
      <c r="E14" s="138"/>
      <c r="F14" s="138"/>
      <c r="G14" s="138"/>
      <c r="H14" s="138"/>
      <c r="I14" s="139" t="s">
        <v>81</v>
      </c>
      <c r="J14" s="140"/>
      <c r="K14" s="141"/>
    </row>
    <row r="15" spans="1:11" ht="15" customHeight="1" x14ac:dyDescent="0.25">
      <c r="A15" s="122" t="s">
        <v>73</v>
      </c>
      <c r="B15" s="123" t="s">
        <v>74</v>
      </c>
      <c r="C15" s="122" t="s">
        <v>75</v>
      </c>
      <c r="D15" s="124" t="s">
        <v>76</v>
      </c>
      <c r="E15" s="105" t="s">
        <v>77</v>
      </c>
      <c r="F15" s="126" t="s">
        <v>39</v>
      </c>
      <c r="G15" s="126" t="s">
        <v>79</v>
      </c>
      <c r="H15" s="126" t="s">
        <v>80</v>
      </c>
      <c r="I15" s="134" t="s">
        <v>116</v>
      </c>
      <c r="J15" s="137" t="s">
        <v>117</v>
      </c>
      <c r="K15" s="142" t="s">
        <v>134</v>
      </c>
    </row>
    <row r="16" spans="1:11" x14ac:dyDescent="0.25">
      <c r="A16" s="122"/>
      <c r="B16" s="123"/>
      <c r="C16" s="122"/>
      <c r="D16" s="125"/>
      <c r="E16" s="105" t="s">
        <v>78</v>
      </c>
      <c r="F16" s="127"/>
      <c r="G16" s="127"/>
      <c r="H16" s="127"/>
      <c r="I16" s="134"/>
      <c r="J16" s="137"/>
      <c r="K16" s="143"/>
    </row>
    <row r="17" spans="1:12" x14ac:dyDescent="0.25">
      <c r="A17" s="129" t="s">
        <v>94</v>
      </c>
      <c r="B17" s="129" t="s">
        <v>95</v>
      </c>
      <c r="C17" s="130" t="s">
        <v>96</v>
      </c>
      <c r="D17" s="131" t="s">
        <v>85</v>
      </c>
      <c r="E17" s="132" t="s">
        <v>97</v>
      </c>
      <c r="F17" s="133">
        <v>256530</v>
      </c>
      <c r="G17" s="128">
        <v>0.45</v>
      </c>
      <c r="H17" s="128">
        <v>0.55000000000000004</v>
      </c>
      <c r="I17" s="149">
        <v>38</v>
      </c>
      <c r="J17" s="149">
        <f>I17*6</f>
        <v>228</v>
      </c>
      <c r="K17" s="153">
        <f>J17/F17</f>
        <v>8.8878493743421824E-4</v>
      </c>
    </row>
    <row r="18" spans="1:12" x14ac:dyDescent="0.25">
      <c r="A18" s="129"/>
      <c r="B18" s="129"/>
      <c r="C18" s="130"/>
      <c r="D18" s="131"/>
      <c r="E18" s="132"/>
      <c r="F18" s="133"/>
      <c r="G18" s="128"/>
      <c r="H18" s="128"/>
      <c r="I18" s="150"/>
      <c r="J18" s="150"/>
      <c r="K18" s="154"/>
    </row>
    <row r="19" spans="1:12" x14ac:dyDescent="0.25">
      <c r="A19" s="129" t="s">
        <v>98</v>
      </c>
      <c r="B19" s="129" t="s">
        <v>99</v>
      </c>
      <c r="C19" s="130" t="s">
        <v>96</v>
      </c>
      <c r="D19" s="131" t="s">
        <v>85</v>
      </c>
      <c r="E19" s="132" t="s">
        <v>100</v>
      </c>
      <c r="F19" s="133">
        <v>12234</v>
      </c>
      <c r="G19" s="128">
        <v>0.45</v>
      </c>
      <c r="H19" s="128">
        <v>0.55000000000000004</v>
      </c>
      <c r="I19" s="149">
        <v>5334</v>
      </c>
      <c r="J19" s="149">
        <f>I19*6</f>
        <v>32004</v>
      </c>
      <c r="K19" s="151">
        <f t="shared" ref="K19" si="0">J19/F19</f>
        <v>2.6159882295242767</v>
      </c>
    </row>
    <row r="20" spans="1:12" x14ac:dyDescent="0.25">
      <c r="A20" s="129"/>
      <c r="B20" s="129"/>
      <c r="C20" s="130"/>
      <c r="D20" s="131"/>
      <c r="E20" s="132"/>
      <c r="F20" s="133"/>
      <c r="G20" s="128"/>
      <c r="H20" s="128"/>
      <c r="I20" s="150"/>
      <c r="J20" s="150"/>
      <c r="K20" s="152"/>
    </row>
    <row r="21" spans="1:12" x14ac:dyDescent="0.25">
      <c r="A21" s="129" t="s">
        <v>101</v>
      </c>
      <c r="B21" s="129" t="s">
        <v>102</v>
      </c>
      <c r="C21" s="130" t="s">
        <v>89</v>
      </c>
      <c r="D21" s="131" t="s">
        <v>85</v>
      </c>
      <c r="E21" s="132" t="s">
        <v>103</v>
      </c>
      <c r="F21" s="133">
        <v>382978</v>
      </c>
      <c r="G21" s="128">
        <v>0.45</v>
      </c>
      <c r="H21" s="128">
        <v>0.55000000000000004</v>
      </c>
      <c r="I21" s="149">
        <v>22860</v>
      </c>
      <c r="J21" s="149">
        <f>I21*6</f>
        <v>137160</v>
      </c>
      <c r="K21" s="153">
        <f t="shared" ref="K21" si="1">J21/F21</f>
        <v>0.35814067648794445</v>
      </c>
    </row>
    <row r="22" spans="1:12" x14ac:dyDescent="0.25">
      <c r="A22" s="129"/>
      <c r="B22" s="129"/>
      <c r="C22" s="130"/>
      <c r="D22" s="131"/>
      <c r="E22" s="132"/>
      <c r="F22" s="133"/>
      <c r="G22" s="128"/>
      <c r="H22" s="128"/>
      <c r="I22" s="150"/>
      <c r="J22" s="150"/>
      <c r="K22" s="154"/>
    </row>
    <row r="23" spans="1:12" x14ac:dyDescent="0.25">
      <c r="A23" s="129" t="s">
        <v>104</v>
      </c>
      <c r="B23" s="129" t="s">
        <v>105</v>
      </c>
      <c r="C23" s="130" t="s">
        <v>89</v>
      </c>
      <c r="D23" s="131" t="s">
        <v>85</v>
      </c>
      <c r="E23" s="132" t="s">
        <v>106</v>
      </c>
      <c r="F23" s="133">
        <v>100246</v>
      </c>
      <c r="G23" s="128">
        <v>0.45</v>
      </c>
      <c r="H23" s="128">
        <v>0.55000000000000004</v>
      </c>
      <c r="I23" s="149">
        <v>2591</v>
      </c>
      <c r="J23" s="149">
        <f>I23*6</f>
        <v>15546</v>
      </c>
      <c r="K23" s="153">
        <f t="shared" ref="K23" si="2">J23/F23</f>
        <v>0.15507850687309219</v>
      </c>
    </row>
    <row r="24" spans="1:12" x14ac:dyDescent="0.25">
      <c r="A24" s="129"/>
      <c r="B24" s="129"/>
      <c r="C24" s="130"/>
      <c r="D24" s="131"/>
      <c r="E24" s="132"/>
      <c r="F24" s="133"/>
      <c r="G24" s="128"/>
      <c r="H24" s="128"/>
      <c r="I24" s="150"/>
      <c r="J24" s="150"/>
      <c r="K24" s="154"/>
    </row>
    <row r="25" spans="1:12" x14ac:dyDescent="0.25">
      <c r="J25" s="81"/>
    </row>
    <row r="26" spans="1:12" ht="15" customHeight="1" x14ac:dyDescent="0.25">
      <c r="A26" s="104" t="s">
        <v>107</v>
      </c>
      <c r="B26" s="144" t="s">
        <v>108</v>
      </c>
      <c r="C26" s="145"/>
      <c r="D26" s="145"/>
      <c r="E26" s="145"/>
      <c r="F26" s="145"/>
      <c r="G26" s="145"/>
      <c r="H26" s="145"/>
      <c r="I26" s="145"/>
      <c r="J26" s="145"/>
      <c r="K26" s="146"/>
    </row>
    <row r="27" spans="1:12" x14ac:dyDescent="0.25">
      <c r="A27" s="104" t="s">
        <v>71</v>
      </c>
      <c r="B27" s="78" t="s">
        <v>109</v>
      </c>
      <c r="C27" s="78"/>
      <c r="D27" s="138"/>
      <c r="E27" s="138"/>
      <c r="F27" s="138"/>
      <c r="G27" s="138"/>
      <c r="H27" s="138"/>
      <c r="I27" s="139" t="s">
        <v>81</v>
      </c>
      <c r="J27" s="140"/>
      <c r="K27" s="141"/>
    </row>
    <row r="28" spans="1:12" ht="15" customHeight="1" x14ac:dyDescent="0.25">
      <c r="A28" s="122" t="s">
        <v>73</v>
      </c>
      <c r="B28" s="123" t="s">
        <v>74</v>
      </c>
      <c r="C28" s="122" t="s">
        <v>75</v>
      </c>
      <c r="D28" s="122" t="s">
        <v>76</v>
      </c>
      <c r="E28" s="105" t="s">
        <v>77</v>
      </c>
      <c r="F28" s="123" t="s">
        <v>39</v>
      </c>
      <c r="G28" s="123" t="s">
        <v>79</v>
      </c>
      <c r="H28" s="123" t="s">
        <v>80</v>
      </c>
      <c r="I28" s="134" t="s">
        <v>116</v>
      </c>
      <c r="J28" s="137" t="s">
        <v>117</v>
      </c>
      <c r="K28" s="142" t="s">
        <v>134</v>
      </c>
    </row>
    <row r="29" spans="1:12" x14ac:dyDescent="0.25">
      <c r="A29" s="122"/>
      <c r="B29" s="123"/>
      <c r="C29" s="122"/>
      <c r="D29" s="122"/>
      <c r="E29" s="105" t="s">
        <v>78</v>
      </c>
      <c r="F29" s="123"/>
      <c r="G29" s="123"/>
      <c r="H29" s="123"/>
      <c r="I29" s="134"/>
      <c r="J29" s="137"/>
      <c r="K29" s="143"/>
    </row>
    <row r="30" spans="1:12" x14ac:dyDescent="0.25">
      <c r="A30" s="135" t="s">
        <v>110</v>
      </c>
      <c r="B30" s="129" t="s">
        <v>111</v>
      </c>
      <c r="C30" s="130" t="s">
        <v>89</v>
      </c>
      <c r="D30" s="131" t="s">
        <v>112</v>
      </c>
      <c r="E30" s="132" t="s">
        <v>113</v>
      </c>
      <c r="F30" s="133">
        <v>41534</v>
      </c>
      <c r="G30" s="128">
        <v>0.45</v>
      </c>
      <c r="H30" s="128">
        <v>0.55000000000000004</v>
      </c>
      <c r="I30" s="149">
        <v>1509</v>
      </c>
      <c r="J30" s="149">
        <f>I30*6</f>
        <v>9054</v>
      </c>
      <c r="K30" s="153">
        <f t="shared" ref="K30" si="3">J30/F30</f>
        <v>0.21799008041604467</v>
      </c>
    </row>
    <row r="31" spans="1:12" x14ac:dyDescent="0.25">
      <c r="A31" s="136"/>
      <c r="B31" s="129"/>
      <c r="C31" s="130"/>
      <c r="D31" s="131"/>
      <c r="E31" s="132"/>
      <c r="F31" s="133"/>
      <c r="G31" s="128"/>
      <c r="H31" s="128"/>
      <c r="I31" s="150"/>
      <c r="J31" s="150"/>
      <c r="K31" s="154"/>
      <c r="L31" s="41" t="s">
        <v>137</v>
      </c>
    </row>
  </sheetData>
  <mergeCells count="115">
    <mergeCell ref="B4:K4"/>
    <mergeCell ref="I5:K5"/>
    <mergeCell ref="A6:A7"/>
    <mergeCell ref="B6:B7"/>
    <mergeCell ref="C6:C7"/>
    <mergeCell ref="D6:D7"/>
    <mergeCell ref="F6:F7"/>
    <mergeCell ref="G6:G7"/>
    <mergeCell ref="H6:H7"/>
    <mergeCell ref="I6:I7"/>
    <mergeCell ref="A10:A11"/>
    <mergeCell ref="B10:B11"/>
    <mergeCell ref="C10:C11"/>
    <mergeCell ref="D10:D11"/>
    <mergeCell ref="E10:E11"/>
    <mergeCell ref="F10:F11"/>
    <mergeCell ref="G10:G11"/>
    <mergeCell ref="J6:J7"/>
    <mergeCell ref="K6:K7"/>
    <mergeCell ref="A8:A9"/>
    <mergeCell ref="B8:B9"/>
    <mergeCell ref="C8:C9"/>
    <mergeCell ref="D8:D9"/>
    <mergeCell ref="E8:E9"/>
    <mergeCell ref="F8:F9"/>
    <mergeCell ref="G8:G9"/>
    <mergeCell ref="H8:H9"/>
    <mergeCell ref="H10:H11"/>
    <mergeCell ref="I10:I11"/>
    <mergeCell ref="J10:J11"/>
    <mergeCell ref="K10:K11"/>
    <mergeCell ref="B13:K13"/>
    <mergeCell ref="D14:H14"/>
    <mergeCell ref="I14:K14"/>
    <mergeCell ref="I8:I9"/>
    <mergeCell ref="J8:J9"/>
    <mergeCell ref="K8:K9"/>
    <mergeCell ref="A19:A20"/>
    <mergeCell ref="B19:B20"/>
    <mergeCell ref="C19:C20"/>
    <mergeCell ref="D19:D20"/>
    <mergeCell ref="E19:E20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F15:F16"/>
    <mergeCell ref="G15:G16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F23:F24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F21:F22"/>
    <mergeCell ref="B26:K26"/>
    <mergeCell ref="D27:H27"/>
    <mergeCell ref="I27:K27"/>
    <mergeCell ref="A28:A29"/>
    <mergeCell ref="B28:B29"/>
    <mergeCell ref="C28:C29"/>
    <mergeCell ref="D28:D29"/>
    <mergeCell ref="F28:F29"/>
    <mergeCell ref="G28:G29"/>
    <mergeCell ref="H28:H29"/>
    <mergeCell ref="H30:H31"/>
    <mergeCell ref="I30:I31"/>
    <mergeCell ref="J30:J31"/>
    <mergeCell ref="K30:K31"/>
    <mergeCell ref="I28:I29"/>
    <mergeCell ref="J28:J29"/>
    <mergeCell ref="K28:K29"/>
    <mergeCell ref="A30:A31"/>
    <mergeCell ref="B30:B31"/>
    <mergeCell ref="C30:C31"/>
    <mergeCell ref="D30:D31"/>
    <mergeCell ref="E30:E31"/>
    <mergeCell ref="F30:F31"/>
    <mergeCell ref="G30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 t="s">
        <v>136</v>
      </c>
      <c r="B1" s="93"/>
      <c r="C1" s="93"/>
      <c r="D1" s="93"/>
      <c r="E1" s="121" t="s">
        <v>124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Table14235694[[#This Row],[Emergency NFI]]+Table14235694[[#This Row],[NFI Replenishment ]]+Table14235694[[#This Row],[NFI3]]</f>
        <v>51696</v>
      </c>
      <c r="F3" s="91">
        <f>Table14235694[[#This Row],[Emergency Shelter]]+Table14235694[[#This Row],[Shelter Upgrade/Repair]]+Table14235694[[#This Row],[Shelter and housing options]]</f>
        <v>7884</v>
      </c>
      <c r="G3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51696</v>
      </c>
      <c r="H3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3180</v>
      </c>
      <c r="I3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3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4548</v>
      </c>
      <c r="K3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3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156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Table14235694[[#This Row],[Emergency NFI]]+Table14235694[[#This Row],[NFI Replenishment ]]+Table14235694[[#This Row],[NFI3]]</f>
        <v>0</v>
      </c>
      <c r="F4" s="5">
        <f>Table14235694[[#This Row],[Emergency Shelter]]+Table14235694[[#This Row],[Shelter Upgrade/Repair]]+Table14235694[[#This Row],[Shelter and housing options]]</f>
        <v>210</v>
      </c>
      <c r="G4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0</v>
      </c>
      <c r="H4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4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4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4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4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210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Table14235694[[#This Row],[Emergency NFI]]+Table14235694[[#This Row],[NFI Replenishment ]]+Table14235694[[#This Row],[NFI3]]</f>
        <v>5286</v>
      </c>
      <c r="F5" s="5">
        <f>Table14235694[[#This Row],[Emergency Shelter]]+Table14235694[[#This Row],[Shelter Upgrade/Repair]]+Table14235694[[#This Row],[Shelter and housing options]]</f>
        <v>4458</v>
      </c>
      <c r="G5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5286</v>
      </c>
      <c r="H5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702</v>
      </c>
      <c r="I5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5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1788</v>
      </c>
      <c r="K5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5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1968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Table14235694[[#This Row],[Emergency NFI]]+Table14235694[[#This Row],[NFI Replenishment ]]+Table14235694[[#This Row],[NFI3]]</f>
        <v>720</v>
      </c>
      <c r="F6" s="5">
        <f>Table14235694[[#This Row],[Emergency Shelter]]+Table14235694[[#This Row],[Shelter Upgrade/Repair]]+Table14235694[[#This Row],[Shelter and housing options]]</f>
        <v>0</v>
      </c>
      <c r="G6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720</v>
      </c>
      <c r="H6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6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6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6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6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Table14235694[[#This Row],[Emergency NFI]]+Table14235694[[#This Row],[NFI Replenishment ]]+Table14235694[[#This Row],[NFI3]]</f>
        <v>8160</v>
      </c>
      <c r="F7" s="5">
        <f>Table14235694[[#This Row],[Emergency Shelter]]+Table14235694[[#This Row],[Shelter Upgrade/Repair]]+Table14235694[[#This Row],[Shelter and housing options]]</f>
        <v>9198</v>
      </c>
      <c r="G7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8160</v>
      </c>
      <c r="H7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7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7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9198</v>
      </c>
      <c r="K7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7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Table14235694[[#This Row],[Emergency NFI]]+Table14235694[[#This Row],[NFI Replenishment ]]+Table14235694[[#This Row],[NFI3]]</f>
        <v>5694</v>
      </c>
      <c r="F8" s="5">
        <f>Table14235694[[#This Row],[Emergency Shelter]]+Table14235694[[#This Row],[Shelter Upgrade/Repair]]+Table14235694[[#This Row],[Shelter and housing options]]</f>
        <v>3420</v>
      </c>
      <c r="G8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5694</v>
      </c>
      <c r="H8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8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8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3120</v>
      </c>
      <c r="K8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8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300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Table14235694[[#This Row],[Emergency NFI]]+Table14235694[[#This Row],[NFI Replenishment ]]+Table14235694[[#This Row],[NFI3]]</f>
        <v>138150</v>
      </c>
      <c r="F9" s="5">
        <f>Table14235694[[#This Row],[Emergency Shelter]]+Table14235694[[#This Row],[Shelter Upgrade/Repair]]+Table14235694[[#This Row],[Shelter and housing options]]</f>
        <v>3528</v>
      </c>
      <c r="G9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123924</v>
      </c>
      <c r="H9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30</v>
      </c>
      <c r="I9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14226</v>
      </c>
      <c r="J9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2400</v>
      </c>
      <c r="K9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9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1098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Table14235694[[#This Row],[Emergency NFI]]+Table14235694[[#This Row],[NFI Replenishment ]]+Table14235694[[#This Row],[NFI3]]</f>
        <v>0</v>
      </c>
      <c r="F10" s="5">
        <f>Table14235694[[#This Row],[Emergency Shelter]]+Table14235694[[#This Row],[Shelter Upgrade/Repair]]+Table14235694[[#This Row],[Shelter and housing options]]</f>
        <v>204</v>
      </c>
      <c r="G10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0</v>
      </c>
      <c r="H10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0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0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0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0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204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Table14235694[[#This Row],[Emergency NFI]]+Table14235694[[#This Row],[NFI Replenishment ]]+Table14235694[[#This Row],[NFI3]]</f>
        <v>56472</v>
      </c>
      <c r="F11" s="5">
        <f>Table14235694[[#This Row],[Emergency Shelter]]+Table14235694[[#This Row],[Shelter Upgrade/Repair]]+Table14235694[[#This Row],[Shelter and housing options]]</f>
        <v>104988</v>
      </c>
      <c r="G11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56472</v>
      </c>
      <c r="H11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64974</v>
      </c>
      <c r="I11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1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39900</v>
      </c>
      <c r="K11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1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114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Table14235694[[#This Row],[Emergency NFI]]+Table14235694[[#This Row],[NFI Replenishment ]]+Table14235694[[#This Row],[NFI3]]</f>
        <v>36</v>
      </c>
      <c r="F12" s="5">
        <f>Table14235694[[#This Row],[Emergency Shelter]]+Table14235694[[#This Row],[Shelter Upgrade/Repair]]+Table14235694[[#This Row],[Shelter and housing options]]</f>
        <v>0</v>
      </c>
      <c r="G12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36</v>
      </c>
      <c r="H12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2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2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2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2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Table14235694[[#This Row],[Emergency NFI]]+Table14235694[[#This Row],[NFI Replenishment ]]+Table14235694[[#This Row],[NFI3]]</f>
        <v>12</v>
      </c>
      <c r="F13" s="5">
        <f>Table14235694[[#This Row],[Emergency Shelter]]+Table14235694[[#This Row],[Shelter Upgrade/Repair]]+Table14235694[[#This Row],[Shelter and housing options]]</f>
        <v>0</v>
      </c>
      <c r="G13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12</v>
      </c>
      <c r="H13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3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3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3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3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Table14235694[[#This Row],[Emergency NFI]]+Table14235694[[#This Row],[NFI Replenishment ]]+Table14235694[[#This Row],[NFI3]]</f>
        <v>0</v>
      </c>
      <c r="F14" s="5">
        <f>Table14235694[[#This Row],[Emergency Shelter]]+Table14235694[[#This Row],[Shelter Upgrade/Repair]]+Table14235694[[#This Row],[Shelter and housing options]]</f>
        <v>240</v>
      </c>
      <c r="G14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0</v>
      </c>
      <c r="H14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4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4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4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4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240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Table14235694[[#This Row],[Emergency NFI]]+Table14235694[[#This Row],[NFI Replenishment ]]+Table14235694[[#This Row],[NFI3]]</f>
        <v>1133232</v>
      </c>
      <c r="F15" s="5">
        <f>Table14235694[[#This Row],[Emergency Shelter]]+Table14235694[[#This Row],[Shelter Upgrade/Repair]]+Table14235694[[#This Row],[Shelter and housing options]]</f>
        <v>349866</v>
      </c>
      <c r="G15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1131912</v>
      </c>
      <c r="H15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273966</v>
      </c>
      <c r="I15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1320</v>
      </c>
      <c r="J15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72900</v>
      </c>
      <c r="K15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5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3000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Table14235694[[#This Row],[Emergency NFI]]+Table14235694[[#This Row],[NFI Replenishment ]]+Table14235694[[#This Row],[NFI3]]</f>
        <v>300</v>
      </c>
      <c r="F16" s="5">
        <f>Table14235694[[#This Row],[Emergency Shelter]]+Table14235694[[#This Row],[Shelter Upgrade/Repair]]+Table14235694[[#This Row],[Shelter and housing options]]</f>
        <v>0</v>
      </c>
      <c r="G16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300</v>
      </c>
      <c r="H16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6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6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6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6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Table14235694[[#This Row],[Emergency NFI]]+Table14235694[[#This Row],[NFI Replenishment ]]+Table14235694[[#This Row],[NFI3]]</f>
        <v>107694</v>
      </c>
      <c r="F17" s="5">
        <f>Table14235694[[#This Row],[Emergency Shelter]]+Table14235694[[#This Row],[Shelter Upgrade/Repair]]+Table14235694[[#This Row],[Shelter and housing options]]</f>
        <v>86136</v>
      </c>
      <c r="G17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107694</v>
      </c>
      <c r="H17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55242</v>
      </c>
      <c r="I17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7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29130</v>
      </c>
      <c r="K17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7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1764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Table14235694[[#This Row],[Emergency NFI]]+Table14235694[[#This Row],[NFI Replenishment ]]+Table14235694[[#This Row],[NFI3]]</f>
        <v>1782</v>
      </c>
      <c r="F18" s="5">
        <f>Table14235694[[#This Row],[Emergency Shelter]]+Table14235694[[#This Row],[Shelter Upgrade/Repair]]+Table14235694[[#This Row],[Shelter and housing options]]</f>
        <v>6480</v>
      </c>
      <c r="G18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1782</v>
      </c>
      <c r="H18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72</v>
      </c>
      <c r="I18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8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6408</v>
      </c>
      <c r="K18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8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Table14235694[[#This Row],[Emergency NFI]]+Table14235694[[#This Row],[NFI Replenishment ]]+Table14235694[[#This Row],[NFI3]]</f>
        <v>318</v>
      </c>
      <c r="F19" s="5">
        <f>Table14235694[[#This Row],[Emergency Shelter]]+Table14235694[[#This Row],[Shelter Upgrade/Repair]]+Table14235694[[#This Row],[Shelter and housing options]]</f>
        <v>0</v>
      </c>
      <c r="G19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318</v>
      </c>
      <c r="H19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19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19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19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19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Table14235694[[#This Row],[Emergency NFI]]+Table14235694[[#This Row],[NFI Replenishment ]]+Table14235694[[#This Row],[NFI3]]</f>
        <v>0</v>
      </c>
      <c r="F20" s="5">
        <f>Table14235694[[#This Row],[Emergency Shelter]]+Table14235694[[#This Row],[Shelter Upgrade/Repair]]+Table14235694[[#This Row],[Shelter and housing options]]</f>
        <v>0</v>
      </c>
      <c r="G20" s="91">
        <f>Table142356948[[#This Row],[Emergency NFI]]+Table14235694810[[#This Row],[Emergency NFI]]+Table1423569481011[[#This Row],[Emergency NFI]]+Table142356948101112[[#This Row],[Emergency NFI]]+Table14235694810111213[[#This Row],[Emergency NFI]]+Table1423569481011121314[[#This Row],[Emergency NFI]]+Table14235694810111213142[[#This Row],[Emergency NFI]]</f>
        <v>0</v>
      </c>
      <c r="H20" s="91">
        <f>Table142356948[[#This Row],[Emergency Shelter]]+Table14235694810[[#This Row],[Emergency Shelter]]+Table1423569481011[[#This Row],[Emergency Shelter]]+Table142356948101112[[#This Row],[Emergency Shelter]]+Table14235694810111213[[#This Row],[Emergency Shelter]]+Table1423569481011121314[[#This Row],[Emergency Shelter]]+Table14235694810111213142[[#This Row],[Emergency Shelter]]</f>
        <v>0</v>
      </c>
      <c r="I20" s="91">
        <f>Table142356948[[#This Row],[NFI Replenishment ]]+Table14235694810[[#This Row],[NFI Replenishment ]]+Table1423569481011[[#This Row],[NFI Replenishment ]]+Table142356948101112[[#This Row],[NFI Replenishment ]]+Table14235694810111213[[#This Row],[NFI Replenishment ]]+Table1423569481011121314[[#This Row],[NFI Replenishment ]]+Table14235694810111213142[[#This Row],[NFI Replenishment ]]</f>
        <v>0</v>
      </c>
      <c r="J20" s="91">
        <f>Table142356948[[#This Row],[Shelter Upgrade/Repair]]+Table14235694810[[#This Row],[Shelter Upgrade/Repair]]+Table1423569481011[[#This Row],[Shelter Upgrade/Repair]]+Table142356948101112[[#This Row],[Shelter Upgrade/Repair]]+Table14235694810111213[[#This Row],[Shelter Upgrade/Repair]]+Table1423569481011121314[[#This Row],[Shelter Upgrade/Repair]]+Table14235694810111213142[[#This Row],[Shelter Upgrade/Repair]]</f>
        <v>0</v>
      </c>
      <c r="K20" s="91">
        <f>Table142356948[[#This Row],[NFI3]]+Table14235694810[[#This Row],[NFI3]]+Table1423569481011[[#This Row],[NFI3]]+Table142356948101112[[#This Row],[NFI3]]+Table14235694810111213[[#This Row],[NFI3]]+Table1423569481011121314[[#This Row],[NFI3]]+Table14235694810111213142[[#This Row],[NFI3]]</f>
        <v>0</v>
      </c>
      <c r="L20" s="91">
        <f>Table142356948[[#This Row],[Shelter and housing options]]+Table14235694810[[#This Row],[Shelter and housing options]]+Table1423569481011[[#This Row],[Shelter and housing options]]+Table142356948101112[[#This Row],[Shelter and housing options]]+Table14235694810111213[[#This Row],[Shelter and housing options]]+Table1423569481011121314[[#This Row],[Shelter and housing options]]+Table14235694810111213142[[#This Row],[Shelter and housing options]]</f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1509552</v>
      </c>
      <c r="F21" s="9">
        <f>Table14235694[[#This Row],[Emergency Shelter]]+Table14235694[[#This Row],[Shelter Upgrade/Repair]]+Table14235694[[#This Row],[Shelter and housing options]]</f>
        <v>576612</v>
      </c>
      <c r="G21" s="9">
        <f>SUBTOTAL(109,G3:G20)</f>
        <v>1494006</v>
      </c>
      <c r="H21" s="9">
        <f>SUBTOTAL(109,H3:H20)</f>
        <v>398166</v>
      </c>
      <c r="I21" s="9">
        <f t="shared" ref="I21:K21" si="0">SUBTOTAL(109,I3:I20)</f>
        <v>15546</v>
      </c>
      <c r="J21" s="9">
        <f t="shared" ref="J21" si="1">SUBTOTAL(109,J3:J20)</f>
        <v>169392</v>
      </c>
      <c r="K21" s="9">
        <f t="shared" si="0"/>
        <v>0</v>
      </c>
      <c r="L21" s="9">
        <f t="shared" ref="L21" si="2">SUBTOTAL(109,L3:L20)</f>
        <v>9054</v>
      </c>
    </row>
    <row r="22" spans="1:12" x14ac:dyDescent="0.25">
      <c r="A22" s="97" t="s">
        <v>44</v>
      </c>
      <c r="B22" s="97"/>
      <c r="C22" s="98">
        <f>C21/6</f>
        <v>647166.66666666663</v>
      </c>
      <c r="D22" s="98">
        <f t="shared" ref="D22:K22" si="3">D21/6</f>
        <v>387723.49999999994</v>
      </c>
      <c r="E22" s="98">
        <f t="shared" si="3"/>
        <v>251592</v>
      </c>
      <c r="F22" s="98">
        <f>Table14235694[[#This Row],[Emergency Shelter]]+Table14235694[[#This Row],[Shelter Upgrade/Repair]]+Table14235694[[#This Row],[Shelter and housing options]]</f>
        <v>96102</v>
      </c>
      <c r="G22" s="98">
        <f t="shared" si="3"/>
        <v>249001</v>
      </c>
      <c r="H22" s="98">
        <f t="shared" ref="H22" si="4">H21/6</f>
        <v>66361</v>
      </c>
      <c r="I22" s="98">
        <f t="shared" si="3"/>
        <v>2591</v>
      </c>
      <c r="J22" s="98">
        <f t="shared" ref="J22" si="5">J21/6</f>
        <v>28232</v>
      </c>
      <c r="K22" s="98">
        <f t="shared" si="3"/>
        <v>0</v>
      </c>
      <c r="L22" s="98">
        <f t="shared" ref="L22" si="6">L21/6</f>
        <v>1509</v>
      </c>
    </row>
    <row r="23" spans="1:12" x14ac:dyDescent="0.25">
      <c r="A23" s="108"/>
      <c r="B23" s="109"/>
      <c r="C23" s="110"/>
      <c r="D23" s="110"/>
      <c r="E23" s="111">
        <f>E21/D21</f>
        <v>0.64889541129180983</v>
      </c>
      <c r="F23" s="111">
        <f>F21/D21</f>
        <v>0.24786220076936274</v>
      </c>
      <c r="G23" s="112"/>
      <c r="H23" s="110"/>
      <c r="I23" s="112"/>
      <c r="J23" s="110"/>
      <c r="K23" s="112"/>
      <c r="L23" s="11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G1:H1"/>
    <mergeCell ref="I1:J1"/>
    <mergeCell ref="K1:L1"/>
    <mergeCell ref="E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42736</v>
      </c>
      <c r="B1" s="93"/>
      <c r="C1" s="93"/>
      <c r="D1" s="93"/>
      <c r="E1" s="121" t="s">
        <v>128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Table142356948[[#This Row],[Emergency NFI]]+Table142356948[[#This Row],[NFI Replenishment ]]+Table142356948[[#This Row],[NFI3]]</f>
        <v>18858</v>
      </c>
      <c r="F3" s="91">
        <f>Table142356948[[#This Row],[Emergency Shelter]]+Table142356948[[#This Row],[Shelter Upgrade/Repair]]+Table142356948[[#This Row],[Shelter and housing options]]</f>
        <v>1902</v>
      </c>
      <c r="G3" s="91">
        <v>18858</v>
      </c>
      <c r="H3" s="91">
        <v>642</v>
      </c>
      <c r="I3" s="91">
        <v>0</v>
      </c>
      <c r="J3" s="91">
        <v>1260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Table142356948[[#This Row],[Emergency NFI]]+Table142356948[[#This Row],[NFI Replenishment ]]+Table142356948[[#This Row],[NFI3]]</f>
        <v>0</v>
      </c>
      <c r="F4" s="5">
        <f>Table142356948[[#This Row],[Emergency Shelter]]+Table142356948[[#This Row],[Shelter Upgrade/Repair]]+Table142356948[[#This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Table142356948[[#This Row],[Emergency NFI]]+Table142356948[[#This Row],[NFI Replenishment ]]+Table142356948[[#This Row],[NFI3]]</f>
        <v>2100</v>
      </c>
      <c r="F5" s="5">
        <f>Table142356948[[#This Row],[Emergency Shelter]]+Table142356948[[#This Row],[Shelter Upgrade/Repair]]+Table142356948[[#This Row],[Shelter and housing options]]</f>
        <v>0</v>
      </c>
      <c r="G5" s="5">
        <v>2100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Table142356948[[#This Row],[Emergency NFI]]+Table142356948[[#This Row],[NFI Replenishment ]]+Table142356948[[#This Row],[NFI3]]</f>
        <v>0</v>
      </c>
      <c r="F6" s="5">
        <f>Table142356948[[#This Row],[Emergency Shelter]]+Table142356948[[#This Row],[Shelter Upgrade/Repair]]+Table142356948[[#This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Table142356948[[#This Row],[Emergency NFI]]+Table142356948[[#This Row],[NFI Replenishment ]]+Table142356948[[#This Row],[NFI3]]</f>
        <v>24</v>
      </c>
      <c r="F7" s="5">
        <f>Table142356948[[#This Row],[Emergency Shelter]]+Table142356948[[#This Row],[Shelter Upgrade/Repair]]+Table142356948[[#This Row],[Shelter and housing options]]</f>
        <v>7500</v>
      </c>
      <c r="G7" s="5">
        <v>24</v>
      </c>
      <c r="H7" s="5">
        <v>0</v>
      </c>
      <c r="I7" s="5">
        <v>0</v>
      </c>
      <c r="J7" s="5">
        <v>7500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Table142356948[[#This Row],[Emergency NFI]]+Table142356948[[#This Row],[NFI Replenishment ]]+Table142356948[[#This Row],[NFI3]]</f>
        <v>5064</v>
      </c>
      <c r="F8" s="5">
        <f>Table142356948[[#This Row],[Emergency Shelter]]+Table142356948[[#This Row],[Shelter Upgrade/Repair]]+Table142356948[[#This Row],[Shelter and housing options]]</f>
        <v>0</v>
      </c>
      <c r="G8" s="5">
        <v>5064</v>
      </c>
      <c r="H8" s="5">
        <v>0</v>
      </c>
      <c r="I8" s="5">
        <v>0</v>
      </c>
      <c r="J8" s="5">
        <v>0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Table142356948[[#This Row],[Emergency NFI]]+Table142356948[[#This Row],[NFI Replenishment ]]+Table142356948[[#This Row],[NFI3]]</f>
        <v>3540</v>
      </c>
      <c r="F9" s="5">
        <f>Table142356948[[#This Row],[Emergency Shelter]]+Table142356948[[#This Row],[Shelter Upgrade/Repair]]+Table142356948[[#This Row],[Shelter and housing options]]</f>
        <v>0</v>
      </c>
      <c r="G9" s="5">
        <v>3540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Table142356948[[#This Row],[Emergency NFI]]+Table142356948[[#This Row],[NFI Replenishment ]]+Table142356948[[#This Row],[NFI3]]</f>
        <v>0</v>
      </c>
      <c r="F10" s="5">
        <f>Table142356948[[#This Row],[Emergency Shelter]]+Table142356948[[#This Row],[Shelter Upgrade/Repair]]+Table142356948[[#This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Table142356948[[#This Row],[Emergency NFI]]+Table142356948[[#This Row],[NFI Replenishment ]]+Table142356948[[#This Row],[NFI3]]</f>
        <v>8622</v>
      </c>
      <c r="F11" s="5">
        <f>Table142356948[[#This Row],[Emergency Shelter]]+Table142356948[[#This Row],[Shelter Upgrade/Repair]]+Table142356948[[#This Row],[Shelter and housing options]]</f>
        <v>0</v>
      </c>
      <c r="G11" s="5">
        <v>8622</v>
      </c>
      <c r="H11" s="5">
        <v>0</v>
      </c>
      <c r="I11" s="5">
        <v>0</v>
      </c>
      <c r="J11" s="5">
        <v>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Table142356948[[#This Row],[Emergency NFI]]+Table142356948[[#This Row],[NFI Replenishment ]]+Table142356948[[#This Row],[NFI3]]</f>
        <v>0</v>
      </c>
      <c r="F12" s="5">
        <f>Table142356948[[#This Row],[Emergency Shelter]]+Table142356948[[#This Row],[Shelter Upgrade/Repair]]+Table142356948[[#This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Table142356948[[#This Row],[Emergency NFI]]+Table142356948[[#This Row],[NFI Replenishment ]]+Table142356948[[#This Row],[NFI3]]</f>
        <v>0</v>
      </c>
      <c r="F13" s="5">
        <f>Table142356948[[#This Row],[Emergency Shelter]]+Table142356948[[#This Row],[Shelter Upgrade/Repair]]+Table142356948[[#This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Table142356948[[#This Row],[Emergency NFI]]+Table142356948[[#This Row],[NFI Replenishment ]]+Table142356948[[#This Row],[NFI3]]</f>
        <v>0</v>
      </c>
      <c r="F14" s="5">
        <f>Table142356948[[#This Row],[Emergency Shelter]]+Table142356948[[#This Row],[Shelter Upgrade/Repair]]+Table142356948[[#This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Table142356948[[#This Row],[Emergency NFI]]+Table142356948[[#This Row],[NFI Replenishment ]]+Table142356948[[#This Row],[NFI3]]</f>
        <v>214278</v>
      </c>
      <c r="F15" s="5">
        <f>Table142356948[[#This Row],[Emergency Shelter]]+Table142356948[[#This Row],[Shelter Upgrade/Repair]]+Table142356948[[#This Row],[Shelter and housing options]]</f>
        <v>2586</v>
      </c>
      <c r="G15" s="5">
        <v>214278</v>
      </c>
      <c r="H15" s="5">
        <v>2520</v>
      </c>
      <c r="I15" s="5">
        <v>0</v>
      </c>
      <c r="J15" s="5">
        <v>66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Table142356948[[#This Row],[Emergency NFI]]+Table142356948[[#This Row],[NFI Replenishment ]]+Table142356948[[#This Row],[NFI3]]</f>
        <v>0</v>
      </c>
      <c r="F16" s="5">
        <f>Table142356948[[#This Row],[Emergency Shelter]]+Table142356948[[#This Row],[Shelter Upgrade/Repair]]+Table142356948[[#This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Table142356948[[#This Row],[Emergency NFI]]+Table142356948[[#This Row],[NFI Replenishment ]]+Table142356948[[#This Row],[NFI3]]</f>
        <v>23676</v>
      </c>
      <c r="F17" s="5">
        <f>Table142356948[[#This Row],[Emergency Shelter]]+Table142356948[[#This Row],[Shelter Upgrade/Repair]]+Table142356948[[#This Row],[Shelter and housing options]]</f>
        <v>21300</v>
      </c>
      <c r="G17" s="5">
        <v>23676</v>
      </c>
      <c r="H17" s="5">
        <v>21240</v>
      </c>
      <c r="I17" s="5">
        <v>0</v>
      </c>
      <c r="J17" s="5">
        <v>60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Table142356948[[#This Row],[Emergency NFI]]+Table142356948[[#This Row],[NFI Replenishment ]]+Table142356948[[#This Row],[NFI3]]</f>
        <v>0</v>
      </c>
      <c r="F18" s="5">
        <f>Table142356948[[#This Row],[Emergency Shelter]]+Table142356948[[#This Row],[Shelter Upgrade/Repair]]+Table142356948[[#This Row],[Shelter and housing options]]</f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Table142356948[[#This Row],[Emergency NFI]]+Table142356948[[#This Row],[NFI Replenishment ]]+Table142356948[[#This Row],[NFI3]]</f>
        <v>0</v>
      </c>
      <c r="F19" s="5">
        <f>Table142356948[[#This Row],[Emergency Shelter]]+Table142356948[[#This Row],[Shelter Upgrade/Repair]]+Table142356948[[#This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Table142356948[[#This Row],[Emergency NFI]]+Table142356948[[#This Row],[NFI Replenishment ]]+Table142356948[[#This Row],[NFI3]]</f>
        <v>0</v>
      </c>
      <c r="F20" s="5">
        <f>Table142356948[[#This Row],[Emergency Shelter]]+Table142356948[[#This Row],[Shelter Upgrade/Repair]]+Table142356948[[#This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276162</v>
      </c>
      <c r="F21" s="9">
        <f>Table142356948[[#This Row],[Emergency Shelter]]+Table142356948[[#This Row],[Shelter Upgrade/Repair]]+Table142356948[[#This Row],[Shelter and housing options]]</f>
        <v>33288</v>
      </c>
      <c r="G21" s="9">
        <f>SUBTOTAL(109,G3:G20)</f>
        <v>276162</v>
      </c>
      <c r="H21" s="9">
        <f>SUBTOTAL(109,H3:H20)</f>
        <v>24402</v>
      </c>
      <c r="I21" s="9">
        <f t="shared" ref="I21:K21" si="0">SUBTOTAL(109,I3:I20)</f>
        <v>0</v>
      </c>
      <c r="J21" s="9">
        <f t="shared" ref="J21" si="1">SUBTOTAL(109,J3:J20)</f>
        <v>8886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46027</v>
      </c>
      <c r="F22" s="11">
        <f>Table142356948[[#This Row],[Emergency Shelter]]+Table142356948[[#This Row],[Shelter Upgrade/Repair]]+Table142356948[[#This Row],[Shelter and housing options]]</f>
        <v>5548</v>
      </c>
      <c r="G22" s="11">
        <f t="shared" si="3"/>
        <v>46027</v>
      </c>
      <c r="H22" s="11">
        <f t="shared" ref="H22" si="4">H21/6</f>
        <v>4067</v>
      </c>
      <c r="I22" s="11">
        <f t="shared" si="3"/>
        <v>0</v>
      </c>
      <c r="J22" s="11">
        <f t="shared" ref="J22" si="5">J21/6</f>
        <v>1481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0.11871088546348109</v>
      </c>
      <c r="F23" s="96">
        <f>F21/D21</f>
        <v>1.4309166197045062E-2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42767</v>
      </c>
      <c r="B1" s="93"/>
      <c r="C1" s="93"/>
      <c r="D1" s="93"/>
      <c r="E1" s="121" t="s">
        <v>129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Table14235694810[[#This Row],[Emergency NFI]]+Table14235694810[[#This Row],[NFI Replenishment ]]+Table14235694810[[#This Row],[NFI3]]</f>
        <v>1764</v>
      </c>
      <c r="F3" s="91">
        <f>Table14235694810[[#This Row],[Emergency Shelter]]+Table14235694810[[#This Row],[Shelter Upgrade/Repair]]+Table14235694810[[#This Row],[Shelter and housing options]]</f>
        <v>3240</v>
      </c>
      <c r="G3" s="91">
        <v>1764</v>
      </c>
      <c r="H3" s="91">
        <v>0</v>
      </c>
      <c r="I3" s="91">
        <v>0</v>
      </c>
      <c r="J3" s="91">
        <v>3240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Table14235694810[[#This Row],[Emergency NFI]]+Table14235694810[[#This Row],[NFI Replenishment ]]+Table14235694810[[#This Row],[NFI3]]</f>
        <v>0</v>
      </c>
      <c r="F4" s="5">
        <f>Table14235694810[[#This Row],[Emergency Shelter]]+Table14235694810[[#This Row],[Shelter Upgrade/Repair]]+Table14235694810[[#This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Table14235694810[[#This Row],[Emergency NFI]]+Table14235694810[[#This Row],[NFI Replenishment ]]+Table14235694810[[#This Row],[NFI3]]</f>
        <v>0</v>
      </c>
      <c r="F5" s="5">
        <f>Table14235694810[[#This Row],[Emergency Shelter]]+Table14235694810[[#This Row],[Shelter Upgrade/Repair]]+Table14235694810[[#This Row],[Shelter and housing options]]</f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Table14235694810[[#This Row],[Emergency NFI]]+Table14235694810[[#This Row],[NFI Replenishment ]]+Table14235694810[[#This Row],[NFI3]]</f>
        <v>144</v>
      </c>
      <c r="F6" s="5">
        <f>Table14235694810[[#This Row],[Emergency Shelter]]+Table14235694810[[#This Row],[Shelter Upgrade/Repair]]+Table14235694810[[#This Row],[Shelter and housing options]]</f>
        <v>0</v>
      </c>
      <c r="G6" s="5">
        <v>144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Table14235694810[[#This Row],[Emergency NFI]]+Table14235694810[[#This Row],[NFI Replenishment ]]+Table14235694810[[#This Row],[NFI3]]</f>
        <v>0</v>
      </c>
      <c r="F7" s="5">
        <f>Table14235694810[[#This Row],[Emergency Shelter]]+Table14235694810[[#This Row],[Shelter Upgrade/Repair]]+Table14235694810[[#This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Table14235694810[[#This Row],[Emergency NFI]]+Table14235694810[[#This Row],[NFI Replenishment ]]+Table14235694810[[#This Row],[NFI3]]</f>
        <v>0</v>
      </c>
      <c r="F8" s="5">
        <f>Table14235694810[[#This Row],[Emergency Shelter]]+Table14235694810[[#This Row],[Shelter Upgrade/Repair]]+Table14235694810[[#This Row],[Shelter and housing options]]</f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Table14235694810[[#This Row],[Emergency NFI]]+Table14235694810[[#This Row],[NFI Replenishment ]]+Table14235694810[[#This Row],[NFI3]]</f>
        <v>0</v>
      </c>
      <c r="F9" s="5">
        <f>Table14235694810[[#This Row],[Emergency Shelter]]+Table14235694810[[#This Row],[Shelter Upgrade/Repair]]+Table14235694810[[#This Row],[Shelter and housing options]]</f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Table14235694810[[#This Row],[Emergency NFI]]+Table14235694810[[#This Row],[NFI Replenishment ]]+Table14235694810[[#This Row],[NFI3]]</f>
        <v>0</v>
      </c>
      <c r="F10" s="5">
        <f>Table14235694810[[#This Row],[Emergency Shelter]]+Table14235694810[[#This Row],[Shelter Upgrade/Repair]]+Table14235694810[[#This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Table14235694810[[#This Row],[Emergency NFI]]+Table14235694810[[#This Row],[NFI Replenishment ]]+Table14235694810[[#This Row],[NFI3]]</f>
        <v>5586</v>
      </c>
      <c r="F11" s="5">
        <f>Table14235694810[[#This Row],[Emergency Shelter]]+Table14235694810[[#This Row],[Shelter Upgrade/Repair]]+Table14235694810[[#This Row],[Shelter and housing options]]</f>
        <v>72870</v>
      </c>
      <c r="G11" s="5">
        <v>5586</v>
      </c>
      <c r="H11" s="5">
        <v>63708</v>
      </c>
      <c r="I11" s="5">
        <v>0</v>
      </c>
      <c r="J11" s="5">
        <v>9162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Table14235694810[[#This Row],[Emergency NFI]]+Table14235694810[[#This Row],[NFI Replenishment ]]+Table14235694810[[#This Row],[NFI3]]</f>
        <v>0</v>
      </c>
      <c r="F12" s="5">
        <f>Table14235694810[[#This Row],[Emergency Shelter]]+Table14235694810[[#This Row],[Shelter Upgrade/Repair]]+Table14235694810[[#This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Table14235694810[[#This Row],[Emergency NFI]]+Table14235694810[[#This Row],[NFI Replenishment ]]+Table14235694810[[#This Row],[NFI3]]</f>
        <v>12</v>
      </c>
      <c r="F13" s="5">
        <f>Table14235694810[[#This Row],[Emergency Shelter]]+Table14235694810[[#This Row],[Shelter Upgrade/Repair]]+Table14235694810[[#This Row],[Shelter and housing options]]</f>
        <v>0</v>
      </c>
      <c r="G13" s="5">
        <v>12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Table14235694810[[#This Row],[Emergency NFI]]+Table14235694810[[#This Row],[NFI Replenishment ]]+Table14235694810[[#This Row],[NFI3]]</f>
        <v>0</v>
      </c>
      <c r="F14" s="5">
        <f>Table14235694810[[#This Row],[Emergency Shelter]]+Table14235694810[[#This Row],[Shelter Upgrade/Repair]]+Table14235694810[[#This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Table14235694810[[#This Row],[Emergency NFI]]+Table14235694810[[#This Row],[NFI Replenishment ]]+Table14235694810[[#This Row],[NFI3]]</f>
        <v>56640</v>
      </c>
      <c r="F15" s="5">
        <f>Table14235694810[[#This Row],[Emergency Shelter]]+Table14235694810[[#This Row],[Shelter Upgrade/Repair]]+Table14235694810[[#This Row],[Shelter and housing options]]</f>
        <v>70848</v>
      </c>
      <c r="G15" s="5">
        <v>56640</v>
      </c>
      <c r="H15" s="5">
        <v>61692</v>
      </c>
      <c r="I15" s="5">
        <v>0</v>
      </c>
      <c r="J15" s="5">
        <v>9156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Table14235694810[[#This Row],[Emergency NFI]]+Table14235694810[[#This Row],[NFI Replenishment ]]+Table14235694810[[#This Row],[NFI3]]</f>
        <v>60</v>
      </c>
      <c r="F16" s="5">
        <f>Table14235694810[[#This Row],[Emergency Shelter]]+Table14235694810[[#This Row],[Shelter Upgrade/Repair]]+Table14235694810[[#This Row],[Shelter and housing options]]</f>
        <v>0</v>
      </c>
      <c r="G16" s="5">
        <v>60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Table14235694810[[#This Row],[Emergency NFI]]+Table14235694810[[#This Row],[NFI Replenishment ]]+Table14235694810[[#This Row],[NFI3]]</f>
        <v>12492</v>
      </c>
      <c r="F17" s="5">
        <f>Table14235694810[[#This Row],[Emergency Shelter]]+Table14235694810[[#This Row],[Shelter Upgrade/Repair]]+Table14235694810[[#This Row],[Shelter and housing options]]</f>
        <v>39774</v>
      </c>
      <c r="G17" s="5">
        <v>12492</v>
      </c>
      <c r="H17" s="5">
        <v>14934</v>
      </c>
      <c r="I17" s="5">
        <v>0</v>
      </c>
      <c r="J17" s="5">
        <v>24840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Table14235694810[[#This Row],[Emergency NFI]]+Table14235694810[[#This Row],[NFI Replenishment ]]+Table14235694810[[#This Row],[NFI3]]</f>
        <v>0</v>
      </c>
      <c r="F18" s="5">
        <f>Table14235694810[[#This Row],[Emergency Shelter]]+Table14235694810[[#This Row],[Shelter Upgrade/Repair]]+Table14235694810[[#This Row],[Shelter and housing options]]</f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Table14235694810[[#This Row],[Emergency NFI]]+Table14235694810[[#This Row],[NFI Replenishment ]]+Table14235694810[[#This Row],[NFI3]]</f>
        <v>0</v>
      </c>
      <c r="F19" s="5">
        <f>Table14235694810[[#This Row],[Emergency Shelter]]+Table14235694810[[#This Row],[Shelter Upgrade/Repair]]+Table14235694810[[#This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Table14235694810[[#This Row],[Emergency NFI]]+Table14235694810[[#This Row],[NFI Replenishment ]]+Table14235694810[[#This Row],[NFI3]]</f>
        <v>0</v>
      </c>
      <c r="F20" s="5">
        <f>Table14235694810[[#This Row],[Emergency Shelter]]+Table14235694810[[#This Row],[Shelter Upgrade/Repair]]+Table14235694810[[#This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76698</v>
      </c>
      <c r="F21" s="9">
        <f>Table14235694810[[#This Row],[Emergency Shelter]]+Table14235694810[[#This Row],[Shelter Upgrade/Repair]]+Table14235694810[[#This Row],[Shelter and housing options]]</f>
        <v>186732</v>
      </c>
      <c r="G21" s="9">
        <f>SUBTOTAL(109,G3:G20)</f>
        <v>76698</v>
      </c>
      <c r="H21" s="9">
        <f>SUBTOTAL(109,H3:H20)</f>
        <v>140334</v>
      </c>
      <c r="I21" s="9">
        <f t="shared" ref="I21:K21" si="0">SUBTOTAL(109,I3:I20)</f>
        <v>0</v>
      </c>
      <c r="J21" s="9">
        <f t="shared" ref="J21" si="1">SUBTOTAL(109,J3:J20)</f>
        <v>46398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12783</v>
      </c>
      <c r="F22" s="11">
        <f>Table14235694810[[#This Row],[Emergency Shelter]]+Table14235694810[[#This Row],[Shelter Upgrade/Repair]]+Table14235694810[[#This Row],[Shelter and housing options]]</f>
        <v>31122</v>
      </c>
      <c r="G22" s="11">
        <f t="shared" si="3"/>
        <v>12783</v>
      </c>
      <c r="H22" s="11">
        <f t="shared" ref="H22" si="4">H21/6</f>
        <v>23389</v>
      </c>
      <c r="I22" s="11">
        <f t="shared" si="3"/>
        <v>0</v>
      </c>
      <c r="J22" s="11">
        <f t="shared" ref="J22" si="5">J21/6</f>
        <v>7733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3.2969371214280285E-2</v>
      </c>
      <c r="F23" s="96">
        <f>F21/D21</f>
        <v>8.0268541886163738E-2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42795</v>
      </c>
      <c r="B1" s="93"/>
      <c r="C1" s="93"/>
      <c r="D1" s="93"/>
      <c r="E1" s="121" t="s">
        <v>130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Table1423569481011[[#This Row],[Emergency NFI]]+Table1423569481011[[#This Row],[NFI Replenishment ]]+Table1423569481011[[#This Row],[NFI3]]</f>
        <v>8868</v>
      </c>
      <c r="F3" s="91">
        <f>Table1423569481011[[#This Row],[Emergency Shelter]]+Table1423569481011[[#This Row],[Shelter Upgrade/Repair]]+Table1423569481011[[#This Row],[Shelter and housing options]]</f>
        <v>0</v>
      </c>
      <c r="G3" s="91">
        <v>8868</v>
      </c>
      <c r="H3" s="91">
        <v>0</v>
      </c>
      <c r="I3" s="91">
        <v>0</v>
      </c>
      <c r="J3" s="91">
        <v>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Table1423569481011[[#This Row],[Emergency NFI]]+Table1423569481011[[#This Row],[NFI Replenishment ]]+Table1423569481011[[#This Row],[NFI3]]</f>
        <v>0</v>
      </c>
      <c r="F4" s="5">
        <f>Table1423569481011[[#This Row],[Emergency Shelter]]+Table1423569481011[[#This Row],[Shelter Upgrade/Repair]]+Table1423569481011[[#This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Table1423569481011[[#This Row],[Emergency NFI]]+Table1423569481011[[#This Row],[NFI Replenishment ]]+Table1423569481011[[#This Row],[NFI3]]</f>
        <v>2238</v>
      </c>
      <c r="F5" s="5">
        <f>Table1423569481011[[#This Row],[Emergency Shelter]]+Table1423569481011[[#This Row],[Shelter Upgrade/Repair]]+Table1423569481011[[#This Row],[Shelter and housing options]]</f>
        <v>1998</v>
      </c>
      <c r="G5" s="5">
        <v>2238</v>
      </c>
      <c r="H5" s="5">
        <v>0</v>
      </c>
      <c r="I5" s="5">
        <v>0</v>
      </c>
      <c r="J5" s="5">
        <v>1788</v>
      </c>
      <c r="K5" s="5">
        <v>0</v>
      </c>
      <c r="L5" s="89">
        <f>35*6</f>
        <v>210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Table1423569481011[[#This Row],[Emergency NFI]]+Table1423569481011[[#This Row],[NFI Replenishment ]]+Table1423569481011[[#This Row],[NFI3]]</f>
        <v>156</v>
      </c>
      <c r="F6" s="5">
        <f>Table1423569481011[[#This Row],[Emergency Shelter]]+Table1423569481011[[#This Row],[Shelter Upgrade/Repair]]+Table1423569481011[[#This Row],[Shelter and housing options]]</f>
        <v>0</v>
      </c>
      <c r="G6" s="5">
        <v>156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Table1423569481011[[#This Row],[Emergency NFI]]+Table1423569481011[[#This Row],[NFI Replenishment ]]+Table1423569481011[[#This Row],[NFI3]]</f>
        <v>0</v>
      </c>
      <c r="F7" s="5">
        <f>Table1423569481011[[#This Row],[Emergency Shelter]]+Table1423569481011[[#This Row],[Shelter Upgrade/Repair]]+Table1423569481011[[#This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Table1423569481011[[#This Row],[Emergency NFI]]+Table1423569481011[[#This Row],[NFI Replenishment ]]+Table1423569481011[[#This Row],[NFI3]]</f>
        <v>96</v>
      </c>
      <c r="F8" s="5">
        <f>Table1423569481011[[#This Row],[Emergency Shelter]]+Table1423569481011[[#This Row],[Shelter Upgrade/Repair]]+Table1423569481011[[#This Row],[Shelter and housing options]]</f>
        <v>300</v>
      </c>
      <c r="G8" s="5">
        <v>96</v>
      </c>
      <c r="H8" s="5">
        <v>0</v>
      </c>
      <c r="I8" s="5">
        <v>0</v>
      </c>
      <c r="J8" s="5">
        <v>0</v>
      </c>
      <c r="K8" s="5">
        <v>0</v>
      </c>
      <c r="L8" s="89">
        <f>50*6</f>
        <v>300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Table1423569481011[[#This Row],[Emergency NFI]]+Table1423569481011[[#This Row],[NFI Replenishment ]]+Table1423569481011[[#This Row],[NFI3]]</f>
        <v>36012</v>
      </c>
      <c r="F9" s="5">
        <f>Table1423569481011[[#This Row],[Emergency Shelter]]+Table1423569481011[[#This Row],[Shelter Upgrade/Repair]]+Table1423569481011[[#This Row],[Shelter and housing options]]</f>
        <v>0</v>
      </c>
      <c r="G9" s="5">
        <v>36012</v>
      </c>
      <c r="H9" s="5">
        <v>0</v>
      </c>
      <c r="I9" s="5">
        <v>0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Table1423569481011[[#This Row],[Emergency NFI]]+Table1423569481011[[#This Row],[NFI Replenishment ]]+Table1423569481011[[#This Row],[NFI3]]</f>
        <v>0</v>
      </c>
      <c r="F10" s="5">
        <f>Table1423569481011[[#This Row],[Emergency Shelter]]+Table1423569481011[[#This Row],[Shelter Upgrade/Repair]]+Table1423569481011[[#This Row],[Shelter and housing options]]</f>
        <v>204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f>34*6</f>
        <v>204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Table1423569481011[[#This Row],[Emergency NFI]]+Table1423569481011[[#This Row],[NFI Replenishment ]]+Table1423569481011[[#This Row],[NFI3]]</f>
        <v>20292</v>
      </c>
      <c r="F11" s="5">
        <f>Table1423569481011[[#This Row],[Emergency Shelter]]+Table1423569481011[[#This Row],[Shelter Upgrade/Repair]]+Table1423569481011[[#This Row],[Shelter and housing options]]</f>
        <v>25368</v>
      </c>
      <c r="G11" s="5">
        <v>20292</v>
      </c>
      <c r="H11" s="5">
        <v>150</v>
      </c>
      <c r="I11" s="5">
        <v>0</v>
      </c>
      <c r="J11" s="5">
        <v>25104</v>
      </c>
      <c r="K11" s="5">
        <v>0</v>
      </c>
      <c r="L11" s="89">
        <f>19*6</f>
        <v>114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Table1423569481011[[#This Row],[Emergency NFI]]+Table1423569481011[[#This Row],[NFI Replenishment ]]+Table1423569481011[[#This Row],[NFI3]]</f>
        <v>0</v>
      </c>
      <c r="F12" s="5">
        <f>Table1423569481011[[#This Row],[Emergency Shelter]]+Table1423569481011[[#This Row],[Shelter Upgrade/Repair]]+Table1423569481011[[#This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Table1423569481011[[#This Row],[Emergency NFI]]+Table1423569481011[[#This Row],[NFI Replenishment ]]+Table1423569481011[[#This Row],[NFI3]]</f>
        <v>0</v>
      </c>
      <c r="F13" s="5">
        <f>Table1423569481011[[#This Row],[Emergency Shelter]]+Table1423569481011[[#This Row],[Shelter Upgrade/Repair]]+Table1423569481011[[#This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Table1423569481011[[#This Row],[Emergency NFI]]+Table1423569481011[[#This Row],[NFI Replenishment ]]+Table1423569481011[[#This Row],[NFI3]]</f>
        <v>0</v>
      </c>
      <c r="F14" s="5">
        <f>Table1423569481011[[#This Row],[Emergency Shelter]]+Table1423569481011[[#This Row],[Shelter Upgrade/Repair]]+Table1423569481011[[#This Row],[Shelter and housing options]]</f>
        <v>240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f>40*6</f>
        <v>240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Table1423569481011[[#This Row],[Emergency NFI]]+Table1423569481011[[#This Row],[NFI Replenishment ]]+Table1423569481011[[#This Row],[NFI3]]</f>
        <v>200766</v>
      </c>
      <c r="F15" s="5">
        <f>Table1423569481011[[#This Row],[Emergency Shelter]]+Table1423569481011[[#This Row],[Shelter Upgrade/Repair]]+Table1423569481011[[#This Row],[Shelter and housing options]]</f>
        <v>86610</v>
      </c>
      <c r="G15" s="5">
        <v>200766</v>
      </c>
      <c r="H15" s="5">
        <v>70260</v>
      </c>
      <c r="I15" s="5">
        <v>0</v>
      </c>
      <c r="J15" s="5">
        <v>16350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Table1423569481011[[#This Row],[Emergency NFI]]+Table1423569481011[[#This Row],[NFI Replenishment ]]+Table1423569481011[[#This Row],[NFI3]]</f>
        <v>0</v>
      </c>
      <c r="F16" s="5">
        <f>Table1423569481011[[#This Row],[Emergency Shelter]]+Table1423569481011[[#This Row],[Shelter Upgrade/Repair]]+Table1423569481011[[#This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Table1423569481011[[#This Row],[Emergency NFI]]+Table1423569481011[[#This Row],[NFI Replenishment ]]+Table1423569481011[[#This Row],[NFI3]]</f>
        <v>39300</v>
      </c>
      <c r="F17" s="5">
        <f>Table1423569481011[[#This Row],[Emergency Shelter]]+Table1423569481011[[#This Row],[Shelter Upgrade/Repair]]+Table1423569481011[[#This Row],[Shelter and housing options]]</f>
        <v>1662</v>
      </c>
      <c r="G17" s="5">
        <v>39300</v>
      </c>
      <c r="H17" s="5">
        <v>600</v>
      </c>
      <c r="I17" s="5">
        <v>0</v>
      </c>
      <c r="J17" s="5">
        <v>0</v>
      </c>
      <c r="K17" s="5">
        <v>0</v>
      </c>
      <c r="L17" s="89">
        <f>177*6</f>
        <v>1062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Table1423569481011[[#This Row],[Emergency NFI]]+Table1423569481011[[#This Row],[NFI Replenishment ]]+Table1423569481011[[#This Row],[NFI3]]</f>
        <v>42</v>
      </c>
      <c r="F18" s="5">
        <f>Table1423569481011[[#This Row],[Emergency Shelter]]+Table1423569481011[[#This Row],[Shelter Upgrade/Repair]]+Table1423569481011[[#This Row],[Shelter and housing options]]</f>
        <v>36</v>
      </c>
      <c r="G18" s="5">
        <v>42</v>
      </c>
      <c r="H18" s="5">
        <v>0</v>
      </c>
      <c r="I18" s="5">
        <v>0</v>
      </c>
      <c r="J18" s="5">
        <v>36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Table1423569481011[[#This Row],[Emergency NFI]]+Table1423569481011[[#This Row],[NFI Replenishment ]]+Table1423569481011[[#This Row],[NFI3]]</f>
        <v>138</v>
      </c>
      <c r="F19" s="5">
        <f>Table1423569481011[[#This Row],[Emergency Shelter]]+Table1423569481011[[#This Row],[Shelter Upgrade/Repair]]+Table1423569481011[[#This Row],[Shelter and housing options]]</f>
        <v>0</v>
      </c>
      <c r="G19" s="5">
        <v>138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Table1423569481011[[#This Row],[Emergency NFI]]+Table1423569481011[[#This Row],[NFI Replenishment ]]+Table1423569481011[[#This Row],[NFI3]]</f>
        <v>0</v>
      </c>
      <c r="F20" s="5">
        <f>Table1423569481011[[#This Row],[Emergency Shelter]]+Table1423569481011[[#This Row],[Shelter Upgrade/Repair]]+Table1423569481011[[#This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307908</v>
      </c>
      <c r="F21" s="9">
        <f>Table1423569481011[[#This Row],[Emergency Shelter]]+Table1423569481011[[#This Row],[Shelter Upgrade/Repair]]+Table1423569481011[[#This Row],[Shelter and housing options]]</f>
        <v>116418</v>
      </c>
      <c r="G21" s="9">
        <f>SUBTOTAL(109,G3:G20)</f>
        <v>307908</v>
      </c>
      <c r="H21" s="9">
        <f>SUBTOTAL(109,H3:H20)</f>
        <v>71010</v>
      </c>
      <c r="I21" s="9">
        <f t="shared" ref="I21:K21" si="0">SUBTOTAL(109,I3:I20)</f>
        <v>0</v>
      </c>
      <c r="J21" s="9">
        <f t="shared" ref="J21" si="1">SUBTOTAL(109,J3:J20)</f>
        <v>43278</v>
      </c>
      <c r="K21" s="9">
        <f t="shared" si="0"/>
        <v>0</v>
      </c>
      <c r="L21" s="9">
        <f t="shared" ref="L21" si="2">SUBTOTAL(109,L3:L20)</f>
        <v>2130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51318</v>
      </c>
      <c r="F22" s="11">
        <f>Table1423569481011[[#This Row],[Emergency Shelter]]+Table1423569481011[[#This Row],[Shelter Upgrade/Repair]]+Table1423569481011[[#This Row],[Shelter and housing options]]</f>
        <v>19403</v>
      </c>
      <c r="G22" s="11">
        <f t="shared" si="3"/>
        <v>51318</v>
      </c>
      <c r="H22" s="11">
        <f t="shared" ref="H22" si="4">H21/6</f>
        <v>11835</v>
      </c>
      <c r="I22" s="11">
        <f t="shared" si="3"/>
        <v>0</v>
      </c>
      <c r="J22" s="11">
        <f t="shared" ref="J22" si="5">J21/6</f>
        <v>7213</v>
      </c>
      <c r="K22" s="11">
        <f t="shared" si="3"/>
        <v>0</v>
      </c>
      <c r="L22" s="11">
        <f t="shared" ref="L22" si="6">L21/6</f>
        <v>355</v>
      </c>
    </row>
    <row r="23" spans="1:12" x14ac:dyDescent="0.25">
      <c r="A23" s="99"/>
      <c r="B23" s="100"/>
      <c r="C23" s="101"/>
      <c r="D23" s="101"/>
      <c r="E23" s="96">
        <f>E21/D21</f>
        <v>0.13235720816509705</v>
      </c>
      <c r="F23" s="96">
        <f>F21/D21</f>
        <v>5.0043394326111275E-2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42826</v>
      </c>
      <c r="B1" s="93"/>
      <c r="C1" s="93"/>
      <c r="D1" s="93"/>
      <c r="E1" s="121" t="s">
        <v>131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Table142356948101112[[#This Row],[Emergency NFI]]+Table142356948101112[[#This Row],[NFI Replenishment ]]+Table142356948101112[[#This Row],[NFI3]]</f>
        <v>0</v>
      </c>
      <c r="F3" s="91">
        <f>Table142356948101112[[#This Row],[Emergency Shelter]]+Table142356948101112[[#This Row],[Shelter Upgrade/Repair]]+Table142356948101112[[#This Row],[Shelter and housing options]]</f>
        <v>2076</v>
      </c>
      <c r="G3" s="91">
        <v>0</v>
      </c>
      <c r="H3" s="91">
        <v>2058</v>
      </c>
      <c r="I3" s="91">
        <v>0</v>
      </c>
      <c r="J3" s="91">
        <v>18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Table142356948101112[[#This Row],[Emergency NFI]]+Table142356948101112[[#This Row],[NFI Replenishment ]]+Table142356948101112[[#This Row],[NFI3]]</f>
        <v>0</v>
      </c>
      <c r="F4" s="5">
        <f>Table142356948101112[[#This Row],[Emergency Shelter]]+Table142356948101112[[#This Row],[Shelter Upgrade/Repair]]+Table142356948101112[[#This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Table142356948101112[[#This Row],[Emergency NFI]]+Table142356948101112[[#This Row],[NFI Replenishment ]]+Table142356948101112[[#This Row],[NFI3]]</f>
        <v>600</v>
      </c>
      <c r="F5" s="5">
        <f>Table142356948101112[[#This Row],[Emergency Shelter]]+Table142356948101112[[#This Row],[Shelter Upgrade/Repair]]+Table142356948101112[[#This Row],[Shelter and housing options]]</f>
        <v>0</v>
      </c>
      <c r="G5" s="5">
        <v>600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Table142356948101112[[#This Row],[Emergency NFI]]+Table142356948101112[[#This Row],[NFI Replenishment ]]+Table142356948101112[[#This Row],[NFI3]]</f>
        <v>0</v>
      </c>
      <c r="F6" s="5">
        <f>Table142356948101112[[#This Row],[Emergency Shelter]]+Table142356948101112[[#This Row],[Shelter Upgrade/Repair]]+Table142356948101112[[#This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Table142356948101112[[#This Row],[Emergency NFI]]+Table142356948101112[[#This Row],[NFI Replenishment ]]+Table142356948101112[[#This Row],[NFI3]]</f>
        <v>0</v>
      </c>
      <c r="F7" s="5">
        <f>Table142356948101112[[#This Row],[Emergency Shelter]]+Table142356948101112[[#This Row],[Shelter Upgrade/Repair]]+Table142356948101112[[#This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Table142356948101112[[#This Row],[Emergency NFI]]+Table142356948101112[[#This Row],[NFI Replenishment ]]+Table142356948101112[[#This Row],[NFI3]]</f>
        <v>216</v>
      </c>
      <c r="F8" s="5">
        <f>Table142356948101112[[#This Row],[Emergency Shelter]]+Table142356948101112[[#This Row],[Shelter Upgrade/Repair]]+Table142356948101112[[#This Row],[Shelter and housing options]]</f>
        <v>18</v>
      </c>
      <c r="G8" s="5">
        <v>216</v>
      </c>
      <c r="H8" s="5">
        <v>0</v>
      </c>
      <c r="I8" s="5">
        <v>0</v>
      </c>
      <c r="J8" s="5">
        <v>18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Table142356948101112[[#This Row],[Emergency NFI]]+Table142356948101112[[#This Row],[NFI Replenishment ]]+Table142356948101112[[#This Row],[NFI3]]</f>
        <v>9396</v>
      </c>
      <c r="F9" s="5">
        <f>Table142356948101112[[#This Row],[Emergency Shelter]]+Table142356948101112[[#This Row],[Shelter Upgrade/Repair]]+Table142356948101112[[#This Row],[Shelter and housing options]]</f>
        <v>0</v>
      </c>
      <c r="G9" s="5">
        <v>798</v>
      </c>
      <c r="H9" s="5">
        <v>0</v>
      </c>
      <c r="I9" s="5">
        <v>8598</v>
      </c>
      <c r="J9" s="5">
        <v>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Table142356948101112[[#This Row],[Emergency NFI]]+Table142356948101112[[#This Row],[NFI Replenishment ]]+Table142356948101112[[#This Row],[NFI3]]</f>
        <v>0</v>
      </c>
      <c r="F10" s="5">
        <f>Table142356948101112[[#This Row],[Emergency Shelter]]+Table142356948101112[[#This Row],[Shelter Upgrade/Repair]]+Table142356948101112[[#This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Table142356948101112[[#This Row],[Emergency NFI]]+Table142356948101112[[#This Row],[NFI Replenishment ]]+Table142356948101112[[#This Row],[NFI3]]</f>
        <v>5706</v>
      </c>
      <c r="F11" s="5">
        <f>Table142356948101112[[#This Row],[Emergency Shelter]]+Table142356948101112[[#This Row],[Shelter Upgrade/Repair]]+Table142356948101112[[#This Row],[Shelter and housing options]]</f>
        <v>1602</v>
      </c>
      <c r="G11" s="5">
        <v>5706</v>
      </c>
      <c r="H11" s="5">
        <v>6</v>
      </c>
      <c r="I11" s="5">
        <v>0</v>
      </c>
      <c r="J11" s="5">
        <v>1596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Table142356948101112[[#This Row],[Emergency NFI]]+Table142356948101112[[#This Row],[NFI Replenishment ]]+Table142356948101112[[#This Row],[NFI3]]</f>
        <v>0</v>
      </c>
      <c r="F12" s="5">
        <f>Table142356948101112[[#This Row],[Emergency Shelter]]+Table142356948101112[[#This Row],[Shelter Upgrade/Repair]]+Table142356948101112[[#This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Table142356948101112[[#This Row],[Emergency NFI]]+Table142356948101112[[#This Row],[NFI Replenishment ]]+Table142356948101112[[#This Row],[NFI3]]</f>
        <v>0</v>
      </c>
      <c r="F13" s="5">
        <f>Table142356948101112[[#This Row],[Emergency Shelter]]+Table142356948101112[[#This Row],[Shelter Upgrade/Repair]]+Table142356948101112[[#This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Table142356948101112[[#This Row],[Emergency NFI]]+Table142356948101112[[#This Row],[NFI Replenishment ]]+Table142356948101112[[#This Row],[NFI3]]</f>
        <v>0</v>
      </c>
      <c r="F14" s="5">
        <f>Table142356948101112[[#This Row],[Emergency Shelter]]+Table142356948101112[[#This Row],[Shelter Upgrade/Repair]]+Table142356948101112[[#This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Table142356948101112[[#This Row],[Emergency NFI]]+Table142356948101112[[#This Row],[NFI Replenishment ]]+Table142356948101112[[#This Row],[NFI3]]</f>
        <v>244206</v>
      </c>
      <c r="F15" s="5">
        <f>Table142356948101112[[#This Row],[Emergency Shelter]]+Table142356948101112[[#This Row],[Shelter Upgrade/Repair]]+Table142356948101112[[#This Row],[Shelter and housing options]]</f>
        <v>98892</v>
      </c>
      <c r="G15" s="5">
        <v>244206</v>
      </c>
      <c r="H15" s="5">
        <v>97662</v>
      </c>
      <c r="I15" s="5">
        <v>0</v>
      </c>
      <c r="J15" s="5">
        <v>1230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Table142356948101112[[#This Row],[Emergency NFI]]+Table142356948101112[[#This Row],[NFI Replenishment ]]+Table142356948101112[[#This Row],[NFI3]]</f>
        <v>0</v>
      </c>
      <c r="F16" s="5">
        <f>Table142356948101112[[#This Row],[Emergency Shelter]]+Table142356948101112[[#This Row],[Shelter Upgrade/Repair]]+Table142356948101112[[#This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Table142356948101112[[#This Row],[Emergency NFI]]+Table142356948101112[[#This Row],[NFI Replenishment ]]+Table142356948101112[[#This Row],[NFI3]]</f>
        <v>10074</v>
      </c>
      <c r="F17" s="5">
        <f>Table142356948101112[[#This Row],[Emergency Shelter]]+Table142356948101112[[#This Row],[Shelter Upgrade/Repair]]+Table142356948101112[[#This Row],[Shelter and housing options]]</f>
        <v>9714</v>
      </c>
      <c r="G17" s="5">
        <v>10074</v>
      </c>
      <c r="H17" s="5">
        <v>6714</v>
      </c>
      <c r="I17" s="5">
        <v>0</v>
      </c>
      <c r="J17" s="5">
        <v>3000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Table142356948101112[[#This Row],[Emergency NFI]]+Table142356948101112[[#This Row],[NFI Replenishment ]]+Table142356948101112[[#This Row],[NFI3]]</f>
        <v>12</v>
      </c>
      <c r="F18" s="5">
        <f>Table142356948101112[[#This Row],[Emergency Shelter]]+Table142356948101112[[#This Row],[Shelter Upgrade/Repair]]+Table142356948101112[[#This Row],[Shelter and housing options]]</f>
        <v>36</v>
      </c>
      <c r="G18" s="5">
        <v>12</v>
      </c>
      <c r="H18" s="5">
        <v>0</v>
      </c>
      <c r="I18" s="5">
        <v>0</v>
      </c>
      <c r="J18" s="5">
        <v>36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Table142356948101112[[#This Row],[Emergency NFI]]+Table142356948101112[[#This Row],[NFI Replenishment ]]+Table142356948101112[[#This Row],[NFI3]]</f>
        <v>0</v>
      </c>
      <c r="F19" s="5">
        <f>Table142356948101112[[#This Row],[Emergency Shelter]]+Table142356948101112[[#This Row],[Shelter Upgrade/Repair]]+Table142356948101112[[#This Row],[Shelter and housing options]]</f>
        <v>0</v>
      </c>
      <c r="G19" s="5"/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Table142356948101112[[#This Row],[Emergency NFI]]+Table142356948101112[[#This Row],[NFI Replenishment ]]+Table142356948101112[[#This Row],[NFI3]]</f>
        <v>0</v>
      </c>
      <c r="F20" s="5">
        <f>Table142356948101112[[#This Row],[Emergency Shelter]]+Table142356948101112[[#This Row],[Shelter Upgrade/Repair]]+Table142356948101112[[#This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270210</v>
      </c>
      <c r="F21" s="9">
        <f>Table142356948101112[[#This Row],[Emergency Shelter]]+Table142356948101112[[#This Row],[Shelter Upgrade/Repair]]+Table142356948101112[[#This Row],[Shelter and housing options]]</f>
        <v>112338</v>
      </c>
      <c r="G21" s="9">
        <f>SUBTOTAL(109,G3:G20)</f>
        <v>261612</v>
      </c>
      <c r="H21" s="9">
        <f>SUBTOTAL(109,H3:H20)</f>
        <v>106440</v>
      </c>
      <c r="I21" s="9">
        <f t="shared" ref="I21:K21" si="0">SUBTOTAL(109,I3:I20)</f>
        <v>8598</v>
      </c>
      <c r="J21" s="9">
        <f t="shared" ref="J21" si="1">SUBTOTAL(109,J3:J20)</f>
        <v>5898</v>
      </c>
      <c r="K21" s="9">
        <f t="shared" si="0"/>
        <v>0</v>
      </c>
      <c r="L21" s="9">
        <f t="shared" ref="L21" si="2">SUBTOTAL(109,L3:L20)</f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45035</v>
      </c>
      <c r="F22" s="11">
        <f>Table142356948101112[[#This Row],[Emergency Shelter]]+Table142356948101112[[#This Row],[Shelter Upgrade/Repair]]+Table142356948101112[[#This Row],[Shelter and housing options]]</f>
        <v>18723</v>
      </c>
      <c r="G22" s="11">
        <f t="shared" si="3"/>
        <v>43602</v>
      </c>
      <c r="H22" s="11">
        <f t="shared" ref="H22" si="4">H21/6</f>
        <v>17740</v>
      </c>
      <c r="I22" s="11">
        <f t="shared" si="3"/>
        <v>1433</v>
      </c>
      <c r="J22" s="11">
        <f t="shared" ref="J22" si="5">J21/6</f>
        <v>983</v>
      </c>
      <c r="K22" s="11">
        <f t="shared" si="3"/>
        <v>0</v>
      </c>
      <c r="L22" s="11">
        <f t="shared" ref="L22" si="6">L21/6</f>
        <v>0</v>
      </c>
    </row>
    <row r="23" spans="1:12" x14ac:dyDescent="0.25">
      <c r="A23" s="99"/>
      <c r="B23" s="100"/>
      <c r="C23" s="101"/>
      <c r="D23" s="101"/>
      <c r="E23" s="96">
        <f>E21/D21</f>
        <v>0.1161523611542762</v>
      </c>
      <c r="F23" s="96">
        <f>F21/D21</f>
        <v>4.8289567178672436E-2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42856</v>
      </c>
      <c r="B1" s="93"/>
      <c r="C1" s="93"/>
      <c r="D1" s="93"/>
      <c r="E1" s="121" t="s">
        <v>132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Table14235694810111213[[#This Row],[Emergency NFI]]+Table14235694810111213[[#This Row],[NFI Replenishment ]]+Table14235694810111213[[#This Row],[NFI3]]</f>
        <v>1848</v>
      </c>
      <c r="F3" s="91">
        <f>Table14235694810111213[[#This Row],[Emergency Shelter]]+Table14235694810111213[[#This Row],[Shelter Upgrade/Repair]]+Table14235694810111213[[#This Row],[Shelter and housing options]]</f>
        <v>642</v>
      </c>
      <c r="G3" s="91">
        <v>1848</v>
      </c>
      <c r="H3" s="91">
        <v>480</v>
      </c>
      <c r="I3" s="91">
        <v>0</v>
      </c>
      <c r="J3" s="91">
        <v>6</v>
      </c>
      <c r="K3" s="91">
        <v>0</v>
      </c>
      <c r="L3" s="90">
        <f>26*6</f>
        <v>156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Table14235694810111213[[#This Row],[Emergency NFI]]+Table14235694810111213[[#This Row],[NFI Replenishment ]]+Table14235694810111213[[#This Row],[NFI3]]</f>
        <v>0</v>
      </c>
      <c r="F4" s="5">
        <f>Table14235694810111213[[#This Row],[Emergency Shelter]]+Table14235694810111213[[#This Row],[Shelter Upgrade/Repair]]+Table14235694810111213[[#This Row],[Shelter and housing options]]</f>
        <v>210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f>35*6</f>
        <v>210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Table14235694810111213[[#This Row],[Emergency NFI]]+Table14235694810111213[[#This Row],[NFI Replenishment ]]+Table14235694810111213[[#This Row],[NFI3]]</f>
        <v>0</v>
      </c>
      <c r="F5" s="5">
        <f>Table14235694810111213[[#This Row],[Emergency Shelter]]+Table14235694810111213[[#This Row],[Shelter Upgrade/Repair]]+Table14235694810111213[[#This Row],[Shelter and housing options]]</f>
        <v>1416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89">
        <f>236*6</f>
        <v>1416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Table14235694810111213[[#This Row],[Emergency NFI]]+Table14235694810111213[[#This Row],[NFI Replenishment ]]+Table14235694810111213[[#This Row],[NFI3]]</f>
        <v>420</v>
      </c>
      <c r="F6" s="5">
        <f>Table14235694810111213[[#This Row],[Emergency Shelter]]+Table14235694810111213[[#This Row],[Shelter Upgrade/Repair]]+Table14235694810111213[[#This Row],[Shelter and housing options]]</f>
        <v>0</v>
      </c>
      <c r="G6" s="5">
        <v>420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Table14235694810111213[[#This Row],[Emergency NFI]]+Table14235694810111213[[#This Row],[NFI Replenishment ]]+Table14235694810111213[[#This Row],[NFI3]]</f>
        <v>0</v>
      </c>
      <c r="F7" s="5">
        <f>Table14235694810111213[[#This Row],[Emergency Shelter]]+Table14235694810111213[[#This Row],[Shelter Upgrade/Repair]]+Table14235694810111213[[#This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Table14235694810111213[[#This Row],[Emergency NFI]]+Table14235694810111213[[#This Row],[NFI Replenishment ]]+Table14235694810111213[[#This Row],[NFI3]]</f>
        <v>282</v>
      </c>
      <c r="F8" s="5">
        <f>Table14235694810111213[[#This Row],[Emergency Shelter]]+Table14235694810111213[[#This Row],[Shelter Upgrade/Repair]]+Table14235694810111213[[#This Row],[Shelter and housing options]]</f>
        <v>3078</v>
      </c>
      <c r="G8" s="5">
        <v>282</v>
      </c>
      <c r="H8" s="5">
        <v>0</v>
      </c>
      <c r="I8" s="5">
        <v>0</v>
      </c>
      <c r="J8" s="5">
        <v>3078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Table14235694810111213[[#This Row],[Emergency NFI]]+Table14235694810111213[[#This Row],[NFI Replenishment ]]+Table14235694810111213[[#This Row],[NFI3]]</f>
        <v>3282</v>
      </c>
      <c r="F9" s="5">
        <f>Table14235694810111213[[#This Row],[Emergency Shelter]]+Table14235694810111213[[#This Row],[Shelter Upgrade/Repair]]+Table14235694810111213[[#This Row],[Shelter and housing options]]</f>
        <v>840</v>
      </c>
      <c r="G9" s="5">
        <v>0</v>
      </c>
      <c r="H9" s="5">
        <v>0</v>
      </c>
      <c r="I9" s="5">
        <v>3282</v>
      </c>
      <c r="J9" s="5">
        <v>0</v>
      </c>
      <c r="K9" s="5">
        <v>0</v>
      </c>
      <c r="L9" s="89">
        <f>140*6</f>
        <v>840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Table14235694810111213[[#This Row],[Emergency NFI]]+Table14235694810111213[[#This Row],[NFI Replenishment ]]+Table14235694810111213[[#This Row],[NFI3]]</f>
        <v>0</v>
      </c>
      <c r="F10" s="5">
        <f>Table14235694810111213[[#This Row],[Emergency Shelter]]+Table14235694810111213[[#This Row],[Shelter Upgrade/Repair]]+Table14235694810111213[[#This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Table14235694810111213[[#This Row],[Emergency NFI]]+Table14235694810111213[[#This Row],[NFI Replenishment ]]+Table14235694810111213[[#This Row],[NFI3]]</f>
        <v>4950</v>
      </c>
      <c r="F11" s="5">
        <f>Table14235694810111213[[#This Row],[Emergency Shelter]]+Table14235694810111213[[#This Row],[Shelter Upgrade/Repair]]+Table14235694810111213[[#This Row],[Shelter and housing options]]</f>
        <v>3114</v>
      </c>
      <c r="G11" s="5">
        <v>4950</v>
      </c>
      <c r="H11" s="5">
        <v>576</v>
      </c>
      <c r="I11" s="5">
        <v>0</v>
      </c>
      <c r="J11" s="5">
        <v>2538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Table14235694810111213[[#This Row],[Emergency NFI]]+Table14235694810111213[[#This Row],[NFI Replenishment ]]+Table14235694810111213[[#This Row],[NFI3]]</f>
        <v>0</v>
      </c>
      <c r="F12" s="5">
        <f>Table14235694810111213[[#This Row],[Emergency Shelter]]+Table14235694810111213[[#This Row],[Shelter Upgrade/Repair]]+Table14235694810111213[[#This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Table14235694810111213[[#This Row],[Emergency NFI]]+Table14235694810111213[[#This Row],[NFI Replenishment ]]+Table14235694810111213[[#This Row],[NFI3]]</f>
        <v>0</v>
      </c>
      <c r="F13" s="5">
        <f>Table14235694810111213[[#This Row],[Emergency Shelter]]+Table14235694810111213[[#This Row],[Shelter Upgrade/Repair]]+Table14235694810111213[[#This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Table14235694810111213[[#This Row],[Emergency NFI]]+Table14235694810111213[[#This Row],[NFI Replenishment ]]+Table14235694810111213[[#This Row],[NFI3]]</f>
        <v>0</v>
      </c>
      <c r="F14" s="5">
        <f>Table14235694810111213[[#This Row],[Emergency Shelter]]+Table14235694810111213[[#This Row],[Shelter Upgrade/Repair]]+Table14235694810111213[[#This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Table14235694810111213[[#This Row],[Emergency NFI]]+Table14235694810111213[[#This Row],[NFI Replenishment ]]+Table14235694810111213[[#This Row],[NFI3]]</f>
        <v>99150</v>
      </c>
      <c r="F15" s="5">
        <f>Table14235694810111213[[#This Row],[Emergency Shelter]]+Table14235694810111213[[#This Row],[Shelter Upgrade/Repair]]+Table14235694810111213[[#This Row],[Shelter and housing options]]</f>
        <v>32742</v>
      </c>
      <c r="G15" s="5">
        <v>99150</v>
      </c>
      <c r="H15" s="5">
        <v>27042</v>
      </c>
      <c r="I15" s="5">
        <v>0</v>
      </c>
      <c r="J15" s="5">
        <v>5700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Table14235694810111213[[#This Row],[Emergency NFI]]+Table14235694810111213[[#This Row],[NFI Replenishment ]]+Table14235694810111213[[#This Row],[NFI3]]</f>
        <v>240</v>
      </c>
      <c r="F16" s="5">
        <f>Table14235694810111213[[#This Row],[Emergency Shelter]]+Table14235694810111213[[#This Row],[Shelter Upgrade/Repair]]+Table14235694810111213[[#This Row],[Shelter and housing options]]</f>
        <v>0</v>
      </c>
      <c r="G16" s="5">
        <v>240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Table14235694810111213[[#This Row],[Emergency NFI]]+Table14235694810111213[[#This Row],[NFI Replenishment ]]+Table14235694810111213[[#This Row],[NFI3]]</f>
        <v>10944</v>
      </c>
      <c r="F17" s="5">
        <f>Table14235694810111213[[#This Row],[Emergency Shelter]]+Table14235694810111213[[#This Row],[Shelter Upgrade/Repair]]+Table14235694810111213[[#This Row],[Shelter and housing options]]</f>
        <v>2892</v>
      </c>
      <c r="G17" s="5">
        <v>10944</v>
      </c>
      <c r="H17" s="5">
        <v>960</v>
      </c>
      <c r="I17" s="5">
        <v>0</v>
      </c>
      <c r="J17" s="5">
        <v>1230</v>
      </c>
      <c r="K17" s="5">
        <v>0</v>
      </c>
      <c r="L17" s="89">
        <f>117*6</f>
        <v>702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Table14235694810111213[[#This Row],[Emergency NFI]]+Table14235694810111213[[#This Row],[NFI Replenishment ]]+Table14235694810111213[[#This Row],[NFI3]]</f>
        <v>108</v>
      </c>
      <c r="F18" s="5">
        <f>Table14235694810111213[[#This Row],[Emergency Shelter]]+Table14235694810111213[[#This Row],[Shelter Upgrade/Repair]]+Table14235694810111213[[#This Row],[Shelter and housing options]]</f>
        <v>2178</v>
      </c>
      <c r="G18" s="5">
        <v>108</v>
      </c>
      <c r="H18" s="5">
        <v>6</v>
      </c>
      <c r="I18" s="5">
        <v>0</v>
      </c>
      <c r="J18" s="5">
        <v>2172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Table14235694810111213[[#This Row],[Emergency NFI]]+Table14235694810111213[[#This Row],[NFI Replenishment ]]+Table14235694810111213[[#This Row],[NFI3]]</f>
        <v>180</v>
      </c>
      <c r="F19" s="5">
        <f>Table14235694810111213[[#This Row],[Emergency Shelter]]+Table14235694810111213[[#This Row],[Shelter Upgrade/Repair]]+Table14235694810111213[[#This Row],[Shelter and housing options]]</f>
        <v>0</v>
      </c>
      <c r="G19" s="5">
        <v>180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Table14235694810111213[[#This Row],[Emergency NFI]]+Table14235694810111213[[#This Row],[NFI Replenishment ]]+Table14235694810111213[[#This Row],[NFI3]]</f>
        <v>0</v>
      </c>
      <c r="F20" s="5">
        <f>Table14235694810111213[[#This Row],[Emergency Shelter]]+Table14235694810111213[[#This Row],[Shelter Upgrade/Repair]]+Table14235694810111213[[#This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121404</v>
      </c>
      <c r="F21" s="9">
        <f>Table14235694810111213[[#This Row],[Emergency Shelter]]+Table14235694810111213[[#This Row],[Shelter Upgrade/Repair]]+Table14235694810111213[[#This Row],[Shelter and housing options]]</f>
        <v>47112</v>
      </c>
      <c r="G21" s="9">
        <f>SUBTOTAL(109,G3:G20)</f>
        <v>118122</v>
      </c>
      <c r="H21" s="9">
        <f>SUBTOTAL(109,H3:H20)</f>
        <v>29064</v>
      </c>
      <c r="I21" s="9">
        <f t="shared" ref="I21:K21" si="0">SUBTOTAL(109,I3:I20)</f>
        <v>3282</v>
      </c>
      <c r="J21" s="9">
        <f t="shared" ref="J21" si="1">SUBTOTAL(109,J3:J20)</f>
        <v>14724</v>
      </c>
      <c r="K21" s="9">
        <f t="shared" si="0"/>
        <v>0</v>
      </c>
      <c r="L21" s="9">
        <f t="shared" ref="L21" si="2">SUBTOTAL(109,L3:L20)</f>
        <v>3324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20234</v>
      </c>
      <c r="F22" s="11">
        <f>Table14235694810111213[[#This Row],[Emergency Shelter]]+Table14235694810111213[[#This Row],[Shelter Upgrade/Repair]]+Table14235694810111213[[#This Row],[Shelter and housing options]]</f>
        <v>7852</v>
      </c>
      <c r="G22" s="11">
        <f t="shared" si="3"/>
        <v>19687</v>
      </c>
      <c r="H22" s="11">
        <f t="shared" ref="H22" si="4">H21/6</f>
        <v>4844</v>
      </c>
      <c r="I22" s="11">
        <f t="shared" si="3"/>
        <v>547</v>
      </c>
      <c r="J22" s="11">
        <f t="shared" ref="J22" si="5">J21/6</f>
        <v>2454</v>
      </c>
      <c r="K22" s="11">
        <f t="shared" si="3"/>
        <v>0</v>
      </c>
      <c r="L22" s="11">
        <f t="shared" ref="L22" si="6">L21/6</f>
        <v>554</v>
      </c>
    </row>
    <row r="23" spans="1:12" x14ac:dyDescent="0.25">
      <c r="A23" s="99"/>
      <c r="B23" s="100"/>
      <c r="C23" s="101"/>
      <c r="D23" s="101"/>
      <c r="E23" s="96">
        <f>E21/D21</f>
        <v>5.2186674266584319E-2</v>
      </c>
      <c r="F23" s="96">
        <f>F21/D21</f>
        <v>2.0251545237778987E-2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42887</v>
      </c>
      <c r="B1" s="93"/>
      <c r="C1" s="93"/>
      <c r="D1" s="93"/>
      <c r="E1" s="121" t="s">
        <v>133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Table1423569481011121314[[#This Row],[Emergency NFI]]+Table1423569481011121314[[#This Row],[NFI Replenishment ]]+Table1423569481011121314[[#This Row],[NFI3]]</f>
        <v>18126</v>
      </c>
      <c r="F3" s="91">
        <f>Table1423569481011121314[[#This Row],[Emergency Shelter]]+Table1423569481011121314[[#This Row],[Shelter Upgrade/Repair]]+Table1423569481011121314[[#This Row],[Shelter and housing options]]</f>
        <v>0</v>
      </c>
      <c r="G3" s="91">
        <v>18126</v>
      </c>
      <c r="H3" s="91">
        <v>0</v>
      </c>
      <c r="I3" s="91">
        <v>0</v>
      </c>
      <c r="J3" s="91">
        <v>0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Table1423569481011121314[[#This Row],[Emergency NFI]]+Table1423569481011121314[[#This Row],[NFI Replenishment ]]+Table1423569481011121314[[#This Row],[NFI3]]</f>
        <v>0</v>
      </c>
      <c r="F4" s="5">
        <f>Table1423569481011121314[[#This Row],[Emergency Shelter]]+Table1423569481011121314[[#This Row],[Shelter Upgrade/Repair]]+Table1423569481011121314[[#This Row],[Shelter and housing options]]</f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Table1423569481011121314[[#This Row],[Emergency NFI]]+Table1423569481011121314[[#This Row],[NFI Replenishment ]]+Table1423569481011121314[[#This Row],[NFI3]]</f>
        <v>168</v>
      </c>
      <c r="F5" s="5">
        <f>Table1423569481011121314[[#This Row],[Emergency Shelter]]+Table1423569481011121314[[#This Row],[Shelter Upgrade/Repair]]+Table1423569481011121314[[#This Row],[Shelter and housing options]]</f>
        <v>1044</v>
      </c>
      <c r="G5" s="5">
        <v>168</v>
      </c>
      <c r="H5" s="5">
        <v>702</v>
      </c>
      <c r="I5" s="5">
        <v>0</v>
      </c>
      <c r="J5" s="5">
        <v>0</v>
      </c>
      <c r="K5" s="5">
        <v>0</v>
      </c>
      <c r="L5" s="89">
        <f>57*6</f>
        <v>342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Table1423569481011121314[[#This Row],[Emergency NFI]]+Table1423569481011121314[[#This Row],[NFI Replenishment ]]+Table1423569481011121314[[#This Row],[NFI3]]</f>
        <v>0</v>
      </c>
      <c r="F6" s="5">
        <f>Table1423569481011121314[[#This Row],[Emergency Shelter]]+Table1423569481011121314[[#This Row],[Shelter Upgrade/Repair]]+Table1423569481011121314[[#This Row],[Shelter and housing options]]</f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Table1423569481011121314[[#This Row],[Emergency NFI]]+Table1423569481011121314[[#This Row],[NFI Replenishment ]]+Table1423569481011121314[[#This Row],[NFI3]]</f>
        <v>0</v>
      </c>
      <c r="F7" s="5">
        <f>Table1423569481011121314[[#This Row],[Emergency Shelter]]+Table1423569481011121314[[#This Row],[Shelter Upgrade/Repair]]+Table1423569481011121314[[#This Row],[Shelter and housing options]]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Table1423569481011121314[[#This Row],[Emergency NFI]]+Table1423569481011121314[[#This Row],[NFI Replenishment ]]+Table1423569481011121314[[#This Row],[NFI3]]</f>
        <v>36</v>
      </c>
      <c r="F8" s="5">
        <f>Table1423569481011121314[[#This Row],[Emergency Shelter]]+Table1423569481011121314[[#This Row],[Shelter Upgrade/Repair]]+Table1423569481011121314[[#This Row],[Shelter and housing options]]</f>
        <v>6</v>
      </c>
      <c r="G8" s="5">
        <v>36</v>
      </c>
      <c r="H8" s="5">
        <v>0</v>
      </c>
      <c r="I8" s="5">
        <v>0</v>
      </c>
      <c r="J8" s="5">
        <v>6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Table1423569481011121314[[#This Row],[Emergency NFI]]+Table1423569481011121314[[#This Row],[NFI Replenishment ]]+Table1423569481011121314[[#This Row],[NFI3]]</f>
        <v>2346</v>
      </c>
      <c r="F9" s="5">
        <f>Table1423569481011121314[[#This Row],[Emergency Shelter]]+Table1423569481011121314[[#This Row],[Shelter Upgrade/Repair]]+Table1423569481011121314[[#This Row],[Shelter and housing options]]</f>
        <v>2148</v>
      </c>
      <c r="G9" s="5">
        <v>0</v>
      </c>
      <c r="H9" s="5">
        <v>0</v>
      </c>
      <c r="I9" s="5">
        <v>2346</v>
      </c>
      <c r="J9" s="5">
        <v>1890</v>
      </c>
      <c r="K9" s="5">
        <v>0</v>
      </c>
      <c r="L9" s="89">
        <f>43*6</f>
        <v>258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Table1423569481011121314[[#This Row],[Emergency NFI]]+Table1423569481011121314[[#This Row],[NFI Replenishment ]]+Table1423569481011121314[[#This Row],[NFI3]]</f>
        <v>0</v>
      </c>
      <c r="F10" s="5">
        <f>Table1423569481011121314[[#This Row],[Emergency Shelter]]+Table1423569481011121314[[#This Row],[Shelter Upgrade/Repair]]+Table1423569481011121314[[#This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Table1423569481011121314[[#This Row],[Emergency NFI]]+Table1423569481011121314[[#This Row],[NFI Replenishment ]]+Table1423569481011121314[[#This Row],[NFI3]]</f>
        <v>30</v>
      </c>
      <c r="F11" s="5">
        <f>Table1423569481011121314[[#This Row],[Emergency Shelter]]+Table1423569481011121314[[#This Row],[Shelter Upgrade/Repair]]+Table1423569481011121314[[#This Row],[Shelter and housing options]]</f>
        <v>0</v>
      </c>
      <c r="G11" s="5">
        <v>30</v>
      </c>
      <c r="H11" s="5">
        <v>0</v>
      </c>
      <c r="I11" s="5">
        <v>0</v>
      </c>
      <c r="J11" s="5">
        <v>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Table1423569481011121314[[#This Row],[Emergency NFI]]+Table1423569481011121314[[#This Row],[NFI Replenishment ]]+Table1423569481011121314[[#This Row],[NFI3]]</f>
        <v>0</v>
      </c>
      <c r="F12" s="5">
        <f>Table1423569481011121314[[#This Row],[Emergency Shelter]]+Table1423569481011121314[[#This Row],[Shelter Upgrade/Repair]]+Table1423569481011121314[[#This Row],[Shelter and housing options]]</f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Table1423569481011121314[[#This Row],[Emergency NFI]]+Table1423569481011121314[[#This Row],[NFI Replenishment ]]+Table1423569481011121314[[#This Row],[NFI3]]</f>
        <v>0</v>
      </c>
      <c r="F13" s="5">
        <f>Table1423569481011121314[[#This Row],[Emergency Shelter]]+Table1423569481011121314[[#This Row],[Shelter Upgrade/Repair]]+Table1423569481011121314[[#This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Table1423569481011121314[[#This Row],[Emergency NFI]]+Table1423569481011121314[[#This Row],[NFI Replenishment ]]+Table1423569481011121314[[#This Row],[NFI3]]</f>
        <v>0</v>
      </c>
      <c r="F14" s="5">
        <f>Table1423569481011121314[[#This Row],[Emergency Shelter]]+Table1423569481011121314[[#This Row],[Shelter Upgrade/Repair]]+Table1423569481011121314[[#This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Table1423569481011121314[[#This Row],[Emergency NFI]]+Table1423569481011121314[[#This Row],[NFI Replenishment ]]+Table1423569481011121314[[#This Row],[NFI3]]</f>
        <v>62784</v>
      </c>
      <c r="F15" s="5">
        <f>Table1423569481011121314[[#This Row],[Emergency Shelter]]+Table1423569481011121314[[#This Row],[Shelter Upgrade/Repair]]+Table1423569481011121314[[#This Row],[Shelter and housing options]]</f>
        <v>11964</v>
      </c>
      <c r="G15" s="5">
        <v>62784</v>
      </c>
      <c r="H15" s="5">
        <v>3564</v>
      </c>
      <c r="I15" s="5">
        <v>0</v>
      </c>
      <c r="J15" s="5">
        <v>5400</v>
      </c>
      <c r="K15" s="5">
        <v>0</v>
      </c>
      <c r="L15" s="89">
        <f>500*6</f>
        <v>3000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Table1423569481011121314[[#This Row],[Emergency NFI]]+Table1423569481011121314[[#This Row],[NFI Replenishment ]]+Table1423569481011121314[[#This Row],[NFI3]]</f>
        <v>0</v>
      </c>
      <c r="F16" s="5">
        <f>Table1423569481011121314[[#This Row],[Emergency Shelter]]+Table1423569481011121314[[#This Row],[Shelter Upgrade/Repair]]+Table1423569481011121314[[#This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Table1423569481011121314[[#This Row],[Emergency NFI]]+Table1423569481011121314[[#This Row],[NFI Replenishment ]]+Table1423569481011121314[[#This Row],[NFI3]]</f>
        <v>6414</v>
      </c>
      <c r="F17" s="5">
        <f>Table1423569481011121314[[#This Row],[Emergency Shelter]]+Table1423569481011121314[[#This Row],[Shelter Upgrade/Repair]]+Table1423569481011121314[[#This Row],[Shelter and housing options]]</f>
        <v>6000</v>
      </c>
      <c r="G17" s="5">
        <v>6414</v>
      </c>
      <c r="H17" s="5">
        <v>6000</v>
      </c>
      <c r="I17" s="5">
        <v>0</v>
      </c>
      <c r="J17" s="5">
        <v>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Table1423569481011121314[[#This Row],[Emergency NFI]]+Table1423569481011121314[[#This Row],[NFI Replenishment ]]+Table1423569481011121314[[#This Row],[NFI3]]</f>
        <v>960</v>
      </c>
      <c r="F18" s="5">
        <f>Table1423569481011121314[[#This Row],[Emergency Shelter]]+Table1423569481011121314[[#This Row],[Shelter Upgrade/Repair]]+Table1423569481011121314[[#This Row],[Shelter and housing options]]</f>
        <v>4170</v>
      </c>
      <c r="G18" s="5">
        <v>960</v>
      </c>
      <c r="H18" s="5">
        <v>30</v>
      </c>
      <c r="I18" s="5">
        <v>0</v>
      </c>
      <c r="J18" s="5">
        <v>4140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Table1423569481011121314[[#This Row],[Emergency NFI]]+Table1423569481011121314[[#This Row],[NFI Replenishment ]]+Table1423569481011121314[[#This Row],[NFI3]]</f>
        <v>0</v>
      </c>
      <c r="F19" s="5">
        <f>Table1423569481011121314[[#This Row],[Emergency Shelter]]+Table1423569481011121314[[#This Row],[Shelter Upgrade/Repair]]+Table1423569481011121314[[#This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Table1423569481011121314[[#This Row],[Emergency NFI]]+Table1423569481011121314[[#This Row],[NFI Replenishment ]]+Table1423569481011121314[[#This Row],[NFI3]]</f>
        <v>0</v>
      </c>
      <c r="F20" s="5">
        <f>Table1423569481011121314[[#This Row],[Emergency Shelter]]+Table1423569481011121314[[#This Row],[Shelter Upgrade/Repair]]+Table1423569481011121314[[#This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90864</v>
      </c>
      <c r="F21" s="9">
        <f>Table1423569481011121314[[#This Row],[Emergency Shelter]]+Table1423569481011121314[[#This Row],[Shelter Upgrade/Repair]]+Table1423569481011121314[[#This Row],[Shelter and housing options]]</f>
        <v>25332</v>
      </c>
      <c r="G21" s="9">
        <f>SUBTOTAL(109,G3:G20)</f>
        <v>88518</v>
      </c>
      <c r="H21" s="9">
        <f>SUBTOTAL(109,H3:H20)</f>
        <v>10296</v>
      </c>
      <c r="I21" s="9">
        <f t="shared" ref="I21:K21" si="0">SUBTOTAL(109,I3:I20)</f>
        <v>2346</v>
      </c>
      <c r="J21" s="9">
        <f t="shared" ref="J21" si="1">SUBTOTAL(109,J3:J20)</f>
        <v>11436</v>
      </c>
      <c r="K21" s="9">
        <f t="shared" si="0"/>
        <v>0</v>
      </c>
      <c r="L21" s="9">
        <f t="shared" ref="L21" si="2">SUBTOTAL(109,L3:L20)</f>
        <v>3600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K22" si="3">D21/6</f>
        <v>387723.49999999994</v>
      </c>
      <c r="E22" s="11">
        <f t="shared" si="3"/>
        <v>15144</v>
      </c>
      <c r="F22" s="11">
        <f>Table1423569481011121314[[#This Row],[Emergency Shelter]]+Table1423569481011121314[[#This Row],[Shelter Upgrade/Repair]]+Table1423569481011121314[[#This Row],[Shelter and housing options]]</f>
        <v>4222</v>
      </c>
      <c r="G22" s="11">
        <f t="shared" si="3"/>
        <v>14753</v>
      </c>
      <c r="H22" s="11">
        <f t="shared" ref="H22" si="4">H21/6</f>
        <v>1716</v>
      </c>
      <c r="I22" s="11">
        <f t="shared" si="3"/>
        <v>391</v>
      </c>
      <c r="J22" s="11">
        <f t="shared" ref="J22" si="5">J21/6</f>
        <v>1906</v>
      </c>
      <c r="K22" s="11">
        <f t="shared" si="3"/>
        <v>0</v>
      </c>
      <c r="L22" s="11">
        <f t="shared" ref="L22" si="6">L21/6</f>
        <v>600</v>
      </c>
    </row>
    <row r="23" spans="1:12" x14ac:dyDescent="0.25">
      <c r="A23" s="99"/>
      <c r="B23" s="100"/>
      <c r="C23" s="101"/>
      <c r="D23" s="101"/>
      <c r="E23" s="96">
        <f>E21/D21</f>
        <v>3.9058762236490706E-2</v>
      </c>
      <c r="F23" s="96">
        <f>F21/D21</f>
        <v>1.0889203259539338E-2</v>
      </c>
      <c r="G23" s="102"/>
      <c r="H23" s="101"/>
      <c r="I23" s="102"/>
      <c r="J23" s="101"/>
      <c r="K23" s="102"/>
      <c r="L23" s="10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7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7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8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9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9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9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9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9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9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9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9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9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9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9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9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9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9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9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9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9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10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11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zoomScale="80" zoomScaleNormal="80" workbookViewId="0">
      <pane xSplit="2" ySplit="2" topLeftCell="C3" activePane="bottomRight" state="frozen"/>
      <selection pane="topRight" activeCell="E1" sqref="E1"/>
      <selection pane="bottomLeft" activeCell="A2" sqref="A2"/>
      <selection pane="bottomRight" activeCell="A24" sqref="A24"/>
    </sheetView>
  </sheetViews>
  <sheetFormatPr defaultColWidth="32.5703125" defaultRowHeight="15" x14ac:dyDescent="0.25"/>
  <cols>
    <col min="1" max="1" width="18.42578125" style="3" customWidth="1"/>
    <col min="2" max="2" width="16.42578125" style="3" customWidth="1"/>
    <col min="3" max="4" width="17.5703125" style="3" customWidth="1"/>
    <col min="5" max="12" width="19" style="3" customWidth="1"/>
    <col min="13" max="16384" width="32.5703125" style="3"/>
  </cols>
  <sheetData>
    <row r="1" spans="1:12" ht="31.5" customHeight="1" x14ac:dyDescent="0.25">
      <c r="A1" s="106">
        <v>42917</v>
      </c>
      <c r="B1" s="93"/>
      <c r="C1" s="93"/>
      <c r="D1" s="93"/>
      <c r="E1" s="121" t="s">
        <v>135</v>
      </c>
      <c r="F1" s="121"/>
      <c r="G1" s="120" t="s">
        <v>38</v>
      </c>
      <c r="H1" s="120"/>
      <c r="I1" s="120" t="s">
        <v>37</v>
      </c>
      <c r="J1" s="120"/>
      <c r="K1" s="120" t="s">
        <v>36</v>
      </c>
      <c r="L1" s="120"/>
    </row>
    <row r="2" spans="1:12" s="1" customFormat="1" ht="31.5" customHeight="1" x14ac:dyDescent="0.3">
      <c r="A2" s="94" t="s">
        <v>41</v>
      </c>
      <c r="B2" s="94" t="s">
        <v>40</v>
      </c>
      <c r="C2" s="92" t="s">
        <v>42</v>
      </c>
      <c r="D2" s="92" t="s">
        <v>39</v>
      </c>
      <c r="E2" s="92" t="s">
        <v>119</v>
      </c>
      <c r="F2" s="92" t="s">
        <v>120</v>
      </c>
      <c r="G2" s="95" t="s">
        <v>122</v>
      </c>
      <c r="H2" s="95" t="s">
        <v>123</v>
      </c>
      <c r="I2" s="95" t="s">
        <v>125</v>
      </c>
      <c r="J2" s="95" t="s">
        <v>126</v>
      </c>
      <c r="K2" s="95" t="s">
        <v>121</v>
      </c>
      <c r="L2" s="95" t="s">
        <v>127</v>
      </c>
    </row>
    <row r="3" spans="1:12" x14ac:dyDescent="0.25">
      <c r="A3" s="2" t="s">
        <v>35</v>
      </c>
      <c r="B3" s="2" t="s">
        <v>34</v>
      </c>
      <c r="C3" s="6">
        <v>886545.34964906226</v>
      </c>
      <c r="D3" s="6">
        <v>490242.11595303135</v>
      </c>
      <c r="E3" s="91">
        <f>Table14235694810111213142[[#This Row],[Emergency NFI]]+Table14235694810111213142[[#This Row],[NFI Replenishment ]]+Table14235694810111213142[[#This Row],[NFI3]]</f>
        <v>2232</v>
      </c>
      <c r="F3" s="91">
        <f>Table14235694810111213142[[#This Row],[Emergency Shelter]]+Table14235694810111213142[[#This Row],[Shelter Upgrade/Repair]]+Table14235694810111213142[[#This Row],[Shelter and housing options]]</f>
        <v>24</v>
      </c>
      <c r="G3" s="91">
        <v>2232</v>
      </c>
      <c r="H3" s="91">
        <v>0</v>
      </c>
      <c r="I3" s="91">
        <v>0</v>
      </c>
      <c r="J3" s="91">
        <v>24</v>
      </c>
      <c r="K3" s="91">
        <v>0</v>
      </c>
      <c r="L3" s="90">
        <v>0</v>
      </c>
    </row>
    <row r="4" spans="1:12" x14ac:dyDescent="0.25">
      <c r="A4" s="2" t="s">
        <v>33</v>
      </c>
      <c r="B4" s="2" t="s">
        <v>32</v>
      </c>
      <c r="C4" s="6">
        <v>18256.104126851671</v>
      </c>
      <c r="D4" s="6">
        <v>10095.265989212441</v>
      </c>
      <c r="E4" s="91">
        <f>Table14235694810111213142[[#This Row],[Emergency NFI]]+Table14235694810111213142[[#This Row],[NFI Replenishment ]]+Table14235694810111213142[[#This Row],[NFI3]]</f>
        <v>0</v>
      </c>
      <c r="F4" s="5">
        <f>Table14235694810111213142[[#This Row],[Emergency Shelter]]+Table14235694810111213142[[#This Row],[Shelter Upgrade/Repair]]+Table14235694810111213142[[#This Row],[Shelter and housing options]]</f>
        <v>0</v>
      </c>
      <c r="G4" s="5">
        <v>0</v>
      </c>
      <c r="H4" s="5">
        <v>0</v>
      </c>
      <c r="I4" s="5">
        <v>0</v>
      </c>
      <c r="J4" s="91">
        <v>0</v>
      </c>
      <c r="K4" s="5">
        <v>0</v>
      </c>
      <c r="L4" s="89">
        <v>0</v>
      </c>
    </row>
    <row r="5" spans="1:12" x14ac:dyDescent="0.25">
      <c r="A5" s="2" t="s">
        <v>31</v>
      </c>
      <c r="B5" s="2" t="s">
        <v>30</v>
      </c>
      <c r="C5" s="6">
        <v>163558.6022816957</v>
      </c>
      <c r="D5" s="6">
        <v>90444.685426006967</v>
      </c>
      <c r="E5" s="91">
        <f>Table14235694810111213142[[#This Row],[Emergency NFI]]+Table14235694810111213142[[#This Row],[NFI Replenishment ]]+Table14235694810111213142[[#This Row],[NFI3]]</f>
        <v>180</v>
      </c>
      <c r="F5" s="5">
        <f>Table14235694810111213142[[#This Row],[Emergency Shelter]]+Table14235694810111213142[[#This Row],[Shelter Upgrade/Repair]]+Table14235694810111213142[[#This Row],[Shelter and housing options]]</f>
        <v>0</v>
      </c>
      <c r="G5" s="5">
        <v>180</v>
      </c>
      <c r="H5" s="5">
        <v>0</v>
      </c>
      <c r="I5" s="5">
        <v>0</v>
      </c>
      <c r="J5" s="5">
        <v>0</v>
      </c>
      <c r="K5" s="5">
        <v>0</v>
      </c>
      <c r="L5" s="89">
        <v>0</v>
      </c>
    </row>
    <row r="6" spans="1:12" s="30" customFormat="1" x14ac:dyDescent="0.25">
      <c r="A6" s="28" t="s">
        <v>29</v>
      </c>
      <c r="B6" s="28" t="s">
        <v>28</v>
      </c>
      <c r="C6" s="29">
        <v>2446.4634173309851</v>
      </c>
      <c r="D6" s="29">
        <v>1352.846081465309</v>
      </c>
      <c r="E6" s="91">
        <f>Table14235694810111213142[[#This Row],[Emergency NFI]]+Table14235694810111213142[[#This Row],[NFI Replenishment ]]+Table14235694810111213142[[#This Row],[NFI3]]</f>
        <v>0</v>
      </c>
      <c r="F6" s="5">
        <f>Table14235694810111213142[[#This Row],[Emergency Shelter]]+Table14235694810111213142[[#This Row],[Shelter Upgrade/Repair]]+Table14235694810111213142[[#This Row],[Shelter and housing options]]</f>
        <v>0</v>
      </c>
      <c r="G6" s="5">
        <v>0</v>
      </c>
      <c r="H6" s="5"/>
      <c r="I6" s="5">
        <v>0</v>
      </c>
      <c r="J6" s="5">
        <v>0</v>
      </c>
      <c r="K6" s="5">
        <v>0</v>
      </c>
      <c r="L6" s="89">
        <v>0</v>
      </c>
    </row>
    <row r="7" spans="1:12" x14ac:dyDescent="0.25">
      <c r="A7" s="25" t="s">
        <v>27</v>
      </c>
      <c r="B7" s="25" t="s">
        <v>26</v>
      </c>
      <c r="C7" s="21">
        <v>275356.37801431824</v>
      </c>
      <c r="D7" s="21">
        <v>262285.4914534979</v>
      </c>
      <c r="E7" s="91">
        <f>Table14235694810111213142[[#This Row],[Emergency NFI]]+Table14235694810111213142[[#This Row],[NFI Replenishment ]]+Table14235694810111213142[[#This Row],[NFI3]]</f>
        <v>8136</v>
      </c>
      <c r="F7" s="5">
        <f>Table14235694810111213142[[#This Row],[Emergency Shelter]]+Table14235694810111213142[[#This Row],[Shelter Upgrade/Repair]]+Table14235694810111213142[[#This Row],[Shelter and housing options]]</f>
        <v>1698</v>
      </c>
      <c r="G7" s="5">
        <v>8136</v>
      </c>
      <c r="H7" s="5">
        <v>0</v>
      </c>
      <c r="I7" s="5">
        <v>0</v>
      </c>
      <c r="J7" s="5">
        <v>1698</v>
      </c>
      <c r="K7" s="5">
        <v>0</v>
      </c>
      <c r="L7" s="89">
        <v>0</v>
      </c>
    </row>
    <row r="8" spans="1:12" x14ac:dyDescent="0.25">
      <c r="A8" s="2" t="s">
        <v>25</v>
      </c>
      <c r="B8" s="2" t="s">
        <v>24</v>
      </c>
      <c r="C8" s="6">
        <v>196589.42672996817</v>
      </c>
      <c r="D8" s="6">
        <v>108710.08073331327</v>
      </c>
      <c r="E8" s="91">
        <f>Table14235694810111213142[[#This Row],[Emergency NFI]]+Table14235694810111213142[[#This Row],[NFI Replenishment ]]+Table14235694810111213142[[#This Row],[NFI3]]</f>
        <v>0</v>
      </c>
      <c r="F8" s="5">
        <f>Table14235694810111213142[[#This Row],[Emergency Shelter]]+Table14235694810111213142[[#This Row],[Shelter Upgrade/Repair]]+Table14235694810111213142[[#This Row],[Shelter and housing options]]</f>
        <v>18</v>
      </c>
      <c r="G8" s="5">
        <v>0</v>
      </c>
      <c r="H8" s="5">
        <v>0</v>
      </c>
      <c r="I8" s="5">
        <v>0</v>
      </c>
      <c r="J8" s="5">
        <v>18</v>
      </c>
      <c r="K8" s="5">
        <v>0</v>
      </c>
      <c r="L8" s="89">
        <v>0</v>
      </c>
    </row>
    <row r="9" spans="1:12" x14ac:dyDescent="0.25">
      <c r="A9" s="25" t="s">
        <v>23</v>
      </c>
      <c r="B9" s="25" t="s">
        <v>22</v>
      </c>
      <c r="C9" s="21">
        <v>233090.37321152564</v>
      </c>
      <c r="D9" s="21">
        <v>222025.81081192615</v>
      </c>
      <c r="E9" s="91">
        <f>Table14235694810111213142[[#This Row],[Emergency NFI]]+Table14235694810111213142[[#This Row],[NFI Replenishment ]]+Table14235694810111213142[[#This Row],[NFI3]]</f>
        <v>83574</v>
      </c>
      <c r="F9" s="5">
        <f>Table14235694810111213142[[#This Row],[Emergency Shelter]]+Table14235694810111213142[[#This Row],[Shelter Upgrade/Repair]]+Table14235694810111213142[[#This Row],[Shelter and housing options]]</f>
        <v>540</v>
      </c>
      <c r="G9" s="5">
        <v>83574</v>
      </c>
      <c r="H9" s="5">
        <v>30</v>
      </c>
      <c r="I9" s="5">
        <v>0</v>
      </c>
      <c r="J9" s="5">
        <v>510</v>
      </c>
      <c r="K9" s="5">
        <v>0</v>
      </c>
      <c r="L9" s="89">
        <v>0</v>
      </c>
    </row>
    <row r="10" spans="1:12" x14ac:dyDescent="0.25">
      <c r="A10" s="2" t="s">
        <v>21</v>
      </c>
      <c r="B10" s="2" t="s">
        <v>20</v>
      </c>
      <c r="C10" s="6">
        <v>25547.225959795738</v>
      </c>
      <c r="D10" s="6">
        <v>14127.112748623869</v>
      </c>
      <c r="E10" s="91">
        <f>Table14235694810111213142[[#This Row],[Emergency NFI]]+Table14235694810111213142[[#This Row],[NFI Replenishment ]]+Table14235694810111213142[[#This Row],[NFI3]]</f>
        <v>0</v>
      </c>
      <c r="F10" s="5">
        <f>Table14235694810111213142[[#This Row],[Emergency Shelter]]+Table14235694810111213142[[#This Row],[Shelter Upgrade/Repair]]+Table14235694810111213142[[#This Row],[Shelter and housing options]]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9">
        <v>0</v>
      </c>
    </row>
    <row r="11" spans="1:12" x14ac:dyDescent="0.25">
      <c r="A11" s="2" t="s">
        <v>19</v>
      </c>
      <c r="B11" s="2" t="s">
        <v>18</v>
      </c>
      <c r="C11" s="6">
        <v>301949.0931606954</v>
      </c>
      <c r="D11" s="6">
        <v>166971.90098599586</v>
      </c>
      <c r="E11" s="91">
        <f>Table14235694810111213142[[#This Row],[Emergency NFI]]+Table14235694810111213142[[#This Row],[NFI Replenishment ]]+Table14235694810111213142[[#This Row],[NFI3]]</f>
        <v>11286</v>
      </c>
      <c r="F11" s="5">
        <f>Table14235694810111213142[[#This Row],[Emergency Shelter]]+Table14235694810111213142[[#This Row],[Shelter Upgrade/Repair]]+Table14235694810111213142[[#This Row],[Shelter and housing options]]</f>
        <v>2034</v>
      </c>
      <c r="G11" s="5">
        <v>11286</v>
      </c>
      <c r="H11" s="5">
        <v>534</v>
      </c>
      <c r="I11" s="5">
        <v>0</v>
      </c>
      <c r="J11" s="5">
        <v>1500</v>
      </c>
      <c r="K11" s="5">
        <v>0</v>
      </c>
      <c r="L11" s="89">
        <v>0</v>
      </c>
    </row>
    <row r="12" spans="1:12" s="30" customFormat="1" x14ac:dyDescent="0.25">
      <c r="A12" s="28" t="s">
        <v>17</v>
      </c>
      <c r="B12" s="28" t="s">
        <v>16</v>
      </c>
      <c r="C12" s="29">
        <v>1992.2148453703376</v>
      </c>
      <c r="D12" s="29">
        <v>1101.655568566242</v>
      </c>
      <c r="E12" s="91">
        <f>Table14235694810111213142[[#This Row],[Emergency NFI]]+Table14235694810111213142[[#This Row],[NFI Replenishment ]]+Table14235694810111213142[[#This Row],[NFI3]]</f>
        <v>36</v>
      </c>
      <c r="F12" s="5">
        <f>Table14235694810111213142[[#This Row],[Emergency Shelter]]+Table14235694810111213142[[#This Row],[Shelter Upgrade/Repair]]+Table14235694810111213142[[#This Row],[Shelter and housing options]]</f>
        <v>0</v>
      </c>
      <c r="G12" s="5">
        <v>36</v>
      </c>
      <c r="H12" s="5">
        <v>0</v>
      </c>
      <c r="I12" s="5">
        <v>0</v>
      </c>
      <c r="J12" s="5">
        <v>0</v>
      </c>
      <c r="K12" s="5">
        <v>0</v>
      </c>
      <c r="L12" s="89">
        <v>0</v>
      </c>
    </row>
    <row r="13" spans="1:12" s="30" customFormat="1" x14ac:dyDescent="0.25">
      <c r="A13" s="28" t="s">
        <v>15</v>
      </c>
      <c r="B13" s="28" t="s">
        <v>14</v>
      </c>
      <c r="C13" s="29">
        <v>1255.9510204143551</v>
      </c>
      <c r="D13" s="29">
        <v>694.51617565309459</v>
      </c>
      <c r="E13" s="91">
        <f>Table14235694810111213142[[#This Row],[Emergency NFI]]+Table14235694810111213142[[#This Row],[NFI Replenishment ]]+Table14235694810111213142[[#This Row],[NFI3]]</f>
        <v>0</v>
      </c>
      <c r="F13" s="5">
        <f>Table14235694810111213142[[#This Row],[Emergency Shelter]]+Table14235694810111213142[[#This Row],[Shelter Upgrade/Repair]]+Table14235694810111213142[[#This Row],[Shelter and housing options]]</f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89">
        <v>0</v>
      </c>
    </row>
    <row r="14" spans="1:12" x14ac:dyDescent="0.25">
      <c r="A14" s="2" t="s">
        <v>13</v>
      </c>
      <c r="B14" s="2" t="s">
        <v>12</v>
      </c>
      <c r="C14" s="6">
        <v>25088.514359450914</v>
      </c>
      <c r="D14" s="6">
        <v>13873.454268937221</v>
      </c>
      <c r="E14" s="91">
        <f>Table14235694810111213142[[#This Row],[Emergency NFI]]+Table14235694810111213142[[#This Row],[NFI Replenishment ]]+Table14235694810111213142[[#This Row],[NFI3]]</f>
        <v>0</v>
      </c>
      <c r="F14" s="5">
        <f>Table14235694810111213142[[#This Row],[Emergency Shelter]]+Table14235694810111213142[[#This Row],[Shelter Upgrade/Repair]]+Table14235694810111213142[[#This Row],[Shelter and housing options]]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89">
        <v>0</v>
      </c>
    </row>
    <row r="15" spans="1:12" x14ac:dyDescent="0.25">
      <c r="A15" s="38" t="s">
        <v>11</v>
      </c>
      <c r="B15" s="38" t="s">
        <v>10</v>
      </c>
      <c r="C15" s="39">
        <v>1264312.690125369</v>
      </c>
      <c r="D15" s="39">
        <v>648858</v>
      </c>
      <c r="E15" s="91">
        <f>Table14235694810111213142[[#This Row],[Emergency NFI]]+Table14235694810111213142[[#This Row],[NFI Replenishment ]]+Table14235694810111213142[[#This Row],[NFI3]]</f>
        <v>255408</v>
      </c>
      <c r="F15" s="5">
        <f>Table14235694810111213142[[#This Row],[Emergency Shelter]]+Table14235694810111213142[[#This Row],[Shelter Upgrade/Repair]]+Table14235694810111213142[[#This Row],[Shelter and housing options]]</f>
        <v>46224</v>
      </c>
      <c r="G15" s="5">
        <v>254088</v>
      </c>
      <c r="H15" s="5">
        <v>11226</v>
      </c>
      <c r="I15" s="5">
        <v>1320</v>
      </c>
      <c r="J15" s="5">
        <v>34998</v>
      </c>
      <c r="K15" s="5">
        <v>0</v>
      </c>
      <c r="L15" s="89">
        <v>0</v>
      </c>
    </row>
    <row r="16" spans="1:12" s="30" customFormat="1" x14ac:dyDescent="0.25">
      <c r="A16" s="28" t="s">
        <v>9</v>
      </c>
      <c r="B16" s="28" t="s">
        <v>8</v>
      </c>
      <c r="C16" s="29">
        <v>6864.6295732047893</v>
      </c>
      <c r="D16" s="29">
        <v>3796.0049404509668</v>
      </c>
      <c r="E16" s="91">
        <f>Table14235694810111213142[[#This Row],[Emergency NFI]]+Table14235694810111213142[[#This Row],[NFI Replenishment ]]+Table14235694810111213142[[#This Row],[NFI3]]</f>
        <v>0</v>
      </c>
      <c r="F16" s="5">
        <f>Table14235694810111213142[[#This Row],[Emergency Shelter]]+Table14235694810111213142[[#This Row],[Shelter Upgrade/Repair]]+Table14235694810111213142[[#This Row],[Shelter and housing options]]</f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89">
        <v>0</v>
      </c>
    </row>
    <row r="17" spans="1:12" x14ac:dyDescent="0.25">
      <c r="A17" s="2" t="s">
        <v>7</v>
      </c>
      <c r="B17" s="2" t="s">
        <v>6</v>
      </c>
      <c r="C17" s="6">
        <v>404341.49887262163</v>
      </c>
      <c r="D17" s="6">
        <v>223592.88450771463</v>
      </c>
      <c r="E17" s="91">
        <f>Table14235694810111213142[[#This Row],[Emergency NFI]]+Table14235694810111213142[[#This Row],[NFI Replenishment ]]+Table14235694810111213142[[#This Row],[NFI3]]</f>
        <v>4794</v>
      </c>
      <c r="F17" s="5">
        <f>Table14235694810111213142[[#This Row],[Emergency Shelter]]+Table14235694810111213142[[#This Row],[Shelter Upgrade/Repair]]+Table14235694810111213142[[#This Row],[Shelter and housing options]]</f>
        <v>4794</v>
      </c>
      <c r="G17" s="5">
        <v>4794</v>
      </c>
      <c r="H17" s="5">
        <v>4794</v>
      </c>
      <c r="I17" s="5">
        <v>0</v>
      </c>
      <c r="J17" s="5">
        <v>0</v>
      </c>
      <c r="K17" s="5">
        <v>0</v>
      </c>
      <c r="L17" s="89">
        <v>0</v>
      </c>
    </row>
    <row r="18" spans="1:12" x14ac:dyDescent="0.25">
      <c r="A18" s="25" t="s">
        <v>5</v>
      </c>
      <c r="B18" s="25" t="s">
        <v>4</v>
      </c>
      <c r="C18" s="21">
        <v>65699.380344325429</v>
      </c>
      <c r="D18" s="21">
        <v>62580.697734575915</v>
      </c>
      <c r="E18" s="91">
        <f>Table14235694810111213142[[#This Row],[Emergency NFI]]+Table14235694810111213142[[#This Row],[NFI Replenishment ]]+Table14235694810111213142[[#This Row],[NFI3]]</f>
        <v>660</v>
      </c>
      <c r="F18" s="5">
        <f>Table14235694810111213142[[#This Row],[Emergency Shelter]]+Table14235694810111213142[[#This Row],[Shelter Upgrade/Repair]]+Table14235694810111213142[[#This Row],[Shelter and housing options]]</f>
        <v>60</v>
      </c>
      <c r="G18" s="5">
        <v>660</v>
      </c>
      <c r="H18" s="5">
        <v>36</v>
      </c>
      <c r="I18" s="5">
        <v>0</v>
      </c>
      <c r="J18" s="5">
        <v>24</v>
      </c>
      <c r="K18" s="5">
        <v>0</v>
      </c>
      <c r="L18" s="89">
        <v>0</v>
      </c>
    </row>
    <row r="19" spans="1:12" s="30" customFormat="1" x14ac:dyDescent="0.25">
      <c r="A19" s="28" t="s">
        <v>3</v>
      </c>
      <c r="B19" s="28" t="s">
        <v>2</v>
      </c>
      <c r="C19" s="29">
        <v>2031.8433903509988</v>
      </c>
      <c r="D19" s="29">
        <v>1123.569373371771</v>
      </c>
      <c r="E19" s="91">
        <f>Table14235694810111213142[[#This Row],[Emergency NFI]]+Table14235694810111213142[[#This Row],[NFI Replenishment ]]+Table14235694810111213142[[#This Row],[NFI3]]</f>
        <v>0</v>
      </c>
      <c r="F19" s="5">
        <f>Table14235694810111213142[[#This Row],[Emergency Shelter]]+Table14235694810111213142[[#This Row],[Shelter Upgrade/Repair]]+Table14235694810111213142[[#This Row],[Shelter and housing options]]</f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89">
        <v>0</v>
      </c>
    </row>
    <row r="20" spans="1:12" s="30" customFormat="1" x14ac:dyDescent="0.25">
      <c r="A20" s="34" t="s">
        <v>1</v>
      </c>
      <c r="B20" s="34" t="s">
        <v>0</v>
      </c>
      <c r="C20" s="35">
        <v>8074.2609176487258</v>
      </c>
      <c r="D20" s="35">
        <v>4464.9072476573028</v>
      </c>
      <c r="E20" s="91">
        <f>Table14235694810111213142[[#This Row],[Emergency NFI]]+Table14235694810111213142[[#This Row],[NFI Replenishment ]]+Table14235694810111213142[[#This Row],[NFI3]]</f>
        <v>0</v>
      </c>
      <c r="F20" s="5">
        <f>Table14235694810111213142[[#This Row],[Emergency Shelter]]+Table14235694810111213142[[#This Row],[Shelter Upgrade/Repair]]+Table14235694810111213142[[#This Row],[Shelter and housing options]]</f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89">
        <v>0</v>
      </c>
    </row>
    <row r="21" spans="1:12" x14ac:dyDescent="0.25">
      <c r="A21" s="8" t="s">
        <v>43</v>
      </c>
      <c r="B21" s="8"/>
      <c r="C21" s="9">
        <f>SUBTOTAL(109,C3:C20)</f>
        <v>3883000</v>
      </c>
      <c r="D21" s="9">
        <f>SUBTOTAL(109,D3:D20)</f>
        <v>2326340.9999999995</v>
      </c>
      <c r="E21" s="9">
        <f>SUBTOTAL(109,E3:E20)</f>
        <v>366306</v>
      </c>
      <c r="F21" s="9">
        <f>Table14235694810111213142[[#This Row],[Emergency Shelter]]+Table14235694810111213142[[#This Row],[Shelter Upgrade/Repair]]+Table14235694810111213142[[#This Row],[Shelter and housing options]]</f>
        <v>55392</v>
      </c>
      <c r="G21" s="9">
        <f>SUBTOTAL(109,G3:G20)</f>
        <v>364986</v>
      </c>
      <c r="H21" s="9">
        <f>SUBTOTAL(109,H3:H20)</f>
        <v>16620</v>
      </c>
      <c r="I21" s="9">
        <f t="shared" ref="I21:L21" si="0">SUBTOTAL(109,I3:I20)</f>
        <v>1320</v>
      </c>
      <c r="J21" s="9">
        <f t="shared" si="0"/>
        <v>38772</v>
      </c>
      <c r="K21" s="9">
        <f t="shared" si="0"/>
        <v>0</v>
      </c>
      <c r="L21" s="9">
        <f t="shared" si="0"/>
        <v>0</v>
      </c>
    </row>
    <row r="22" spans="1:12" x14ac:dyDescent="0.25">
      <c r="A22" s="10" t="s">
        <v>44</v>
      </c>
      <c r="B22" s="10"/>
      <c r="C22" s="11">
        <f>C21/6</f>
        <v>647166.66666666663</v>
      </c>
      <c r="D22" s="11">
        <f t="shared" ref="D22:L22" si="1">D21/6</f>
        <v>387723.49999999994</v>
      </c>
      <c r="E22" s="11">
        <f t="shared" si="1"/>
        <v>61051</v>
      </c>
      <c r="F22" s="11">
        <f>Table14235694810111213142[[#This Row],[Emergency Shelter]]+Table14235694810111213142[[#This Row],[Shelter Upgrade/Repair]]+Table14235694810111213142[[#This Row],[Shelter and housing options]]</f>
        <v>9232</v>
      </c>
      <c r="G22" s="11">
        <f t="shared" si="1"/>
        <v>60831</v>
      </c>
      <c r="H22" s="11">
        <f t="shared" si="1"/>
        <v>2770</v>
      </c>
      <c r="I22" s="11">
        <f t="shared" si="1"/>
        <v>220</v>
      </c>
      <c r="J22" s="11">
        <f t="shared" si="1"/>
        <v>6462</v>
      </c>
      <c r="K22" s="11">
        <f t="shared" si="1"/>
        <v>0</v>
      </c>
      <c r="L22" s="11">
        <f t="shared" si="1"/>
        <v>0</v>
      </c>
    </row>
    <row r="23" spans="1:12" x14ac:dyDescent="0.25">
      <c r="A23" s="108"/>
      <c r="B23" s="109"/>
      <c r="C23" s="110"/>
      <c r="D23" s="110"/>
      <c r="E23" s="111">
        <f>E21/D21</f>
        <v>0.15746014879160022</v>
      </c>
      <c r="F23" s="111">
        <f>F21/D21</f>
        <v>2.3810782684051911E-2</v>
      </c>
      <c r="G23" s="112"/>
      <c r="H23" s="110"/>
      <c r="I23" s="112"/>
      <c r="J23" s="110"/>
      <c r="K23" s="112"/>
      <c r="L23" s="113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9" t="s">
        <v>58</v>
      </c>
      <c r="B25" s="4"/>
      <c r="C25" s="4"/>
      <c r="D25" s="4"/>
      <c r="E25" s="4"/>
      <c r="F25" s="4"/>
      <c r="G25" s="7"/>
      <c r="H25" s="7"/>
      <c r="I25" s="4"/>
      <c r="J25" s="4"/>
      <c r="K25" s="4"/>
      <c r="L25" s="4"/>
    </row>
    <row r="26" spans="1:12" ht="18.75" x14ac:dyDescent="0.25">
      <c r="A26" s="12" t="s">
        <v>41</v>
      </c>
      <c r="B26" s="13" t="s">
        <v>40</v>
      </c>
      <c r="C26" s="22" t="s">
        <v>42</v>
      </c>
      <c r="D26" s="22" t="s">
        <v>39</v>
      </c>
      <c r="E26" s="4"/>
      <c r="F26" s="4"/>
      <c r="G26" s="4"/>
      <c r="H26" s="4"/>
      <c r="I26" s="4"/>
      <c r="J26" s="4"/>
      <c r="K26" s="4"/>
      <c r="L26" s="4"/>
    </row>
    <row r="27" spans="1:12" s="42" customFormat="1" x14ac:dyDescent="0.25">
      <c r="A27" s="23" t="s">
        <v>27</v>
      </c>
      <c r="B27" s="23" t="s">
        <v>26</v>
      </c>
      <c r="C27" s="24">
        <v>275356.37801431824</v>
      </c>
      <c r="D27" s="24">
        <f>(C27*$D$30)/$C$30</f>
        <v>262285.4914534979</v>
      </c>
      <c r="E27" s="41"/>
      <c r="F27" s="41"/>
      <c r="G27" s="41"/>
      <c r="H27" s="41"/>
      <c r="I27" s="41"/>
      <c r="J27" s="41"/>
      <c r="K27" s="41"/>
      <c r="L27" s="41"/>
    </row>
    <row r="28" spans="1:12" s="42" customFormat="1" x14ac:dyDescent="0.25">
      <c r="A28" s="23" t="s">
        <v>23</v>
      </c>
      <c r="B28" s="23" t="s">
        <v>22</v>
      </c>
      <c r="C28" s="24">
        <v>233090.37321152564</v>
      </c>
      <c r="D28" s="24">
        <f t="shared" ref="D28:D29" si="2">(C28*$D$30)/$C$30</f>
        <v>222025.81081192615</v>
      </c>
      <c r="E28" s="41"/>
      <c r="F28" s="41"/>
      <c r="G28" s="41"/>
      <c r="H28" s="41"/>
      <c r="I28" s="41"/>
      <c r="J28" s="41"/>
      <c r="K28" s="41"/>
      <c r="L28" s="41"/>
    </row>
    <row r="29" spans="1:12" s="42" customFormat="1" x14ac:dyDescent="0.25">
      <c r="A29" s="20" t="s">
        <v>5</v>
      </c>
      <c r="B29" s="20" t="s">
        <v>4</v>
      </c>
      <c r="C29" s="21">
        <v>65699.380344325429</v>
      </c>
      <c r="D29" s="24">
        <f t="shared" si="2"/>
        <v>62580.697734575915</v>
      </c>
      <c r="E29" s="41"/>
      <c r="F29" s="41"/>
      <c r="G29" s="41"/>
      <c r="H29" s="41"/>
      <c r="I29" s="41"/>
      <c r="J29" s="41"/>
      <c r="K29" s="41"/>
      <c r="L29" s="41"/>
    </row>
    <row r="30" spans="1:12" x14ac:dyDescent="0.25">
      <c r="A30" s="14" t="s">
        <v>43</v>
      </c>
      <c r="B30" s="14"/>
      <c r="C30" s="15">
        <f>SUBTOTAL(109,C27:C29)</f>
        <v>574146.13157016935</v>
      </c>
      <c r="D30" s="15">
        <f>'2017 HRP Target'!C2</f>
        <v>546892</v>
      </c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16" t="s">
        <v>44</v>
      </c>
      <c r="B31" s="16"/>
      <c r="C31" s="11">
        <f>C30/6</f>
        <v>95691.021928361559</v>
      </c>
      <c r="D31" s="11">
        <f t="shared" ref="D31" si="3">D30/6</f>
        <v>91148.666666666672</v>
      </c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9" t="s">
        <v>59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8.75" x14ac:dyDescent="0.25">
      <c r="A34" s="12" t="s">
        <v>41</v>
      </c>
      <c r="B34" s="13" t="s">
        <v>40</v>
      </c>
      <c r="C34" s="22" t="s">
        <v>42</v>
      </c>
      <c r="D34" s="22" t="s">
        <v>39</v>
      </c>
      <c r="E34" s="4"/>
      <c r="F34" s="4"/>
      <c r="G34" s="4"/>
      <c r="H34" s="4"/>
      <c r="I34" s="4"/>
      <c r="J34" s="4"/>
      <c r="K34" s="4"/>
      <c r="L34" s="4"/>
    </row>
    <row r="35" spans="1:12" s="30" customFormat="1" x14ac:dyDescent="0.25">
      <c r="A35" s="32" t="s">
        <v>35</v>
      </c>
      <c r="B35" s="32" t="s">
        <v>34</v>
      </c>
      <c r="C35" s="33">
        <v>886545.34964906226</v>
      </c>
      <c r="D35" s="33">
        <f>(C35*$D$53)/$C$53</f>
        <v>490242.11595303135</v>
      </c>
      <c r="E35" s="40"/>
      <c r="F35" s="40"/>
      <c r="G35" s="40"/>
      <c r="H35" s="40"/>
      <c r="I35" s="40"/>
      <c r="J35" s="40"/>
      <c r="K35" s="40"/>
      <c r="L35" s="40"/>
    </row>
    <row r="36" spans="1:12" s="30" customFormat="1" x14ac:dyDescent="0.25">
      <c r="A36" s="31" t="s">
        <v>33</v>
      </c>
      <c r="B36" s="31" t="s">
        <v>32</v>
      </c>
      <c r="C36" s="29">
        <v>18256.104126851671</v>
      </c>
      <c r="D36" s="33">
        <f t="shared" ref="D36:D52" si="4">(C36*$D$53)/$C$53</f>
        <v>10095.265989212441</v>
      </c>
      <c r="E36" s="40"/>
      <c r="F36" s="40"/>
      <c r="G36" s="40"/>
      <c r="H36" s="40"/>
      <c r="I36" s="40"/>
      <c r="J36" s="40"/>
      <c r="K36" s="40"/>
      <c r="L36" s="40"/>
    </row>
    <row r="37" spans="1:12" s="30" customFormat="1" x14ac:dyDescent="0.25">
      <c r="A37" s="32" t="s">
        <v>31</v>
      </c>
      <c r="B37" s="32" t="s">
        <v>30</v>
      </c>
      <c r="C37" s="33">
        <v>163558.6022816957</v>
      </c>
      <c r="D37" s="33">
        <f t="shared" si="4"/>
        <v>90444.685426006967</v>
      </c>
      <c r="E37" s="40"/>
      <c r="F37" s="40"/>
      <c r="G37" s="40"/>
      <c r="H37" s="40"/>
      <c r="I37" s="40"/>
      <c r="J37" s="40"/>
      <c r="K37" s="40"/>
      <c r="L37" s="40"/>
    </row>
    <row r="38" spans="1:12" s="30" customFormat="1" x14ac:dyDescent="0.25">
      <c r="A38" s="31" t="s">
        <v>29</v>
      </c>
      <c r="B38" s="31" t="s">
        <v>28</v>
      </c>
      <c r="C38" s="29">
        <v>2446.4634173309851</v>
      </c>
      <c r="D38" s="33">
        <f t="shared" si="4"/>
        <v>1352.846081465309</v>
      </c>
      <c r="E38" s="40"/>
      <c r="F38" s="40"/>
      <c r="G38" s="40"/>
      <c r="H38" s="40"/>
      <c r="I38" s="40"/>
      <c r="J38" s="40"/>
      <c r="K38" s="40"/>
      <c r="L38" s="40"/>
    </row>
    <row r="39" spans="1:12" s="30" customFormat="1" x14ac:dyDescent="0.25">
      <c r="A39" s="32"/>
      <c r="B39" s="32"/>
      <c r="C39" s="33"/>
      <c r="D39" s="33">
        <f t="shared" si="4"/>
        <v>0</v>
      </c>
      <c r="E39" s="40"/>
      <c r="F39" s="40"/>
      <c r="G39" s="40"/>
      <c r="H39" s="40"/>
      <c r="I39" s="40"/>
      <c r="J39" s="40"/>
      <c r="K39" s="40"/>
      <c r="L39" s="40"/>
    </row>
    <row r="40" spans="1:12" s="30" customFormat="1" x14ac:dyDescent="0.25">
      <c r="A40" s="31" t="s">
        <v>25</v>
      </c>
      <c r="B40" s="31" t="s">
        <v>24</v>
      </c>
      <c r="C40" s="29">
        <v>196589.42672996817</v>
      </c>
      <c r="D40" s="33">
        <f t="shared" si="4"/>
        <v>108710.08073331327</v>
      </c>
      <c r="E40" s="40"/>
      <c r="F40" s="40"/>
      <c r="G40" s="40"/>
      <c r="H40" s="40"/>
      <c r="I40" s="40"/>
      <c r="J40" s="40"/>
      <c r="K40" s="40"/>
      <c r="L40" s="40"/>
    </row>
    <row r="41" spans="1:12" s="30" customFormat="1" x14ac:dyDescent="0.25">
      <c r="A41" s="32"/>
      <c r="B41" s="32"/>
      <c r="C41" s="33"/>
      <c r="D41" s="33">
        <f t="shared" si="4"/>
        <v>0</v>
      </c>
      <c r="E41" s="40"/>
      <c r="F41" s="40"/>
      <c r="G41" s="40"/>
      <c r="H41" s="40"/>
      <c r="I41" s="40"/>
      <c r="J41" s="40"/>
      <c r="K41" s="40"/>
      <c r="L41" s="40"/>
    </row>
    <row r="42" spans="1:12" s="30" customFormat="1" x14ac:dyDescent="0.25">
      <c r="A42" s="31" t="s">
        <v>21</v>
      </c>
      <c r="B42" s="31" t="s">
        <v>20</v>
      </c>
      <c r="C42" s="29">
        <v>25547.225959795738</v>
      </c>
      <c r="D42" s="33">
        <f t="shared" si="4"/>
        <v>14127.112748623869</v>
      </c>
      <c r="E42" s="40"/>
      <c r="F42" s="40"/>
      <c r="G42" s="40"/>
      <c r="H42" s="40"/>
      <c r="I42" s="40"/>
      <c r="J42" s="40"/>
      <c r="K42" s="40"/>
      <c r="L42" s="40"/>
    </row>
    <row r="43" spans="1:12" s="30" customFormat="1" x14ac:dyDescent="0.25">
      <c r="A43" s="32" t="s">
        <v>19</v>
      </c>
      <c r="B43" s="32" t="s">
        <v>18</v>
      </c>
      <c r="C43" s="33">
        <v>301949.0931606954</v>
      </c>
      <c r="D43" s="33">
        <f t="shared" si="4"/>
        <v>166971.90098599586</v>
      </c>
      <c r="E43" s="40"/>
      <c r="F43" s="40"/>
      <c r="G43" s="40"/>
      <c r="H43" s="40"/>
      <c r="I43" s="40"/>
      <c r="J43" s="40"/>
      <c r="K43" s="40"/>
      <c r="L43" s="40"/>
    </row>
    <row r="44" spans="1:12" s="30" customFormat="1" x14ac:dyDescent="0.25">
      <c r="A44" s="31" t="s">
        <v>17</v>
      </c>
      <c r="B44" s="31" t="s">
        <v>16</v>
      </c>
      <c r="C44" s="29">
        <v>1992.2148453703376</v>
      </c>
      <c r="D44" s="33">
        <f t="shared" si="4"/>
        <v>1101.655568566242</v>
      </c>
      <c r="E44" s="40"/>
      <c r="F44" s="40"/>
      <c r="G44" s="40"/>
      <c r="H44" s="40"/>
      <c r="I44" s="40"/>
      <c r="J44" s="40"/>
      <c r="K44" s="40"/>
      <c r="L44" s="40"/>
    </row>
    <row r="45" spans="1:12" s="30" customFormat="1" x14ac:dyDescent="0.25">
      <c r="A45" s="32" t="s">
        <v>15</v>
      </c>
      <c r="B45" s="32" t="s">
        <v>14</v>
      </c>
      <c r="C45" s="33">
        <v>1255.9510204143551</v>
      </c>
      <c r="D45" s="33">
        <f t="shared" si="4"/>
        <v>694.51617565309459</v>
      </c>
      <c r="E45" s="40"/>
      <c r="F45" s="40"/>
      <c r="G45" s="40"/>
      <c r="H45" s="40"/>
      <c r="I45" s="40"/>
      <c r="J45" s="40"/>
      <c r="K45" s="40"/>
      <c r="L45" s="40"/>
    </row>
    <row r="46" spans="1:12" s="30" customFormat="1" x14ac:dyDescent="0.25">
      <c r="A46" s="31" t="s">
        <v>13</v>
      </c>
      <c r="B46" s="31" t="s">
        <v>12</v>
      </c>
      <c r="C46" s="29">
        <v>25088.514359450914</v>
      </c>
      <c r="D46" s="33">
        <f t="shared" si="4"/>
        <v>13873.454268937221</v>
      </c>
      <c r="E46" s="40"/>
      <c r="F46" s="40"/>
      <c r="G46" s="40"/>
      <c r="H46" s="40"/>
      <c r="I46" s="40"/>
      <c r="J46" s="40"/>
      <c r="K46" s="40"/>
      <c r="L46" s="40"/>
    </row>
    <row r="47" spans="1:12" s="30" customFormat="1" x14ac:dyDescent="0.25">
      <c r="A47" s="32"/>
      <c r="B47" s="32"/>
      <c r="C47" s="33"/>
      <c r="D47" s="33">
        <f t="shared" si="4"/>
        <v>0</v>
      </c>
      <c r="E47" s="40"/>
      <c r="F47" s="40"/>
      <c r="G47" s="40"/>
      <c r="H47" s="40"/>
      <c r="I47" s="40"/>
      <c r="J47" s="40"/>
      <c r="K47" s="40"/>
      <c r="L47" s="40"/>
    </row>
    <row r="48" spans="1:12" s="30" customFormat="1" x14ac:dyDescent="0.25">
      <c r="A48" s="31" t="s">
        <v>9</v>
      </c>
      <c r="B48" s="31" t="s">
        <v>8</v>
      </c>
      <c r="C48" s="29">
        <v>6864.6295732047893</v>
      </c>
      <c r="D48" s="33">
        <f t="shared" si="4"/>
        <v>3796.0049404509668</v>
      </c>
      <c r="E48" s="40"/>
      <c r="F48" s="40"/>
      <c r="G48" s="40"/>
      <c r="H48" s="40"/>
      <c r="I48" s="40"/>
      <c r="J48" s="40"/>
      <c r="K48" s="40"/>
      <c r="L48" s="40"/>
    </row>
    <row r="49" spans="1:12" s="30" customFormat="1" x14ac:dyDescent="0.25">
      <c r="A49" s="32" t="s">
        <v>7</v>
      </c>
      <c r="B49" s="32" t="s">
        <v>6</v>
      </c>
      <c r="C49" s="33">
        <v>404341.49887262163</v>
      </c>
      <c r="D49" s="33">
        <f t="shared" si="4"/>
        <v>223592.88450771463</v>
      </c>
      <c r="E49" s="40"/>
      <c r="F49" s="40"/>
      <c r="G49" s="40"/>
      <c r="H49" s="40"/>
      <c r="I49" s="40"/>
      <c r="J49" s="40"/>
      <c r="K49" s="40"/>
      <c r="L49" s="40"/>
    </row>
    <row r="50" spans="1:12" s="30" customFormat="1" x14ac:dyDescent="0.25">
      <c r="A50" s="31"/>
      <c r="B50" s="31"/>
      <c r="C50" s="29"/>
      <c r="D50" s="33">
        <f t="shared" si="4"/>
        <v>0</v>
      </c>
      <c r="E50" s="40"/>
      <c r="F50" s="40"/>
      <c r="G50" s="40"/>
      <c r="H50" s="40"/>
      <c r="I50" s="40"/>
      <c r="J50" s="40"/>
      <c r="K50" s="40"/>
      <c r="L50" s="40"/>
    </row>
    <row r="51" spans="1:12" s="30" customFormat="1" x14ac:dyDescent="0.25">
      <c r="A51" s="32" t="s">
        <v>3</v>
      </c>
      <c r="B51" s="32" t="s">
        <v>2</v>
      </c>
      <c r="C51" s="33">
        <v>2031.8433903509988</v>
      </c>
      <c r="D51" s="33">
        <f t="shared" si="4"/>
        <v>1123.569373371771</v>
      </c>
      <c r="E51" s="40"/>
      <c r="F51" s="40"/>
      <c r="G51" s="40"/>
      <c r="H51" s="40"/>
      <c r="I51" s="40"/>
      <c r="J51" s="40"/>
      <c r="K51" s="40"/>
      <c r="L51" s="40"/>
    </row>
    <row r="52" spans="1:12" s="30" customFormat="1" x14ac:dyDescent="0.25">
      <c r="A52" s="36" t="s">
        <v>1</v>
      </c>
      <c r="B52" s="36" t="s">
        <v>0</v>
      </c>
      <c r="C52" s="37">
        <v>8074.2609176487258</v>
      </c>
      <c r="D52" s="33">
        <f t="shared" si="4"/>
        <v>4464.9072476573028</v>
      </c>
      <c r="E52" s="40"/>
      <c r="F52" s="40"/>
      <c r="G52" s="40"/>
      <c r="H52" s="40"/>
      <c r="I52" s="40"/>
      <c r="J52" s="40"/>
      <c r="K52" s="40"/>
      <c r="L52" s="40"/>
    </row>
    <row r="53" spans="1:12" x14ac:dyDescent="0.25">
      <c r="A53" s="14" t="s">
        <v>43</v>
      </c>
      <c r="B53" s="14"/>
      <c r="C53" s="15">
        <f>SUBTOTAL(109,C35:C52)</f>
        <v>2044541.1783044613</v>
      </c>
      <c r="D53" s="15">
        <f>'2017 HRP Target'!B2</f>
        <v>1130591</v>
      </c>
      <c r="E53" s="4"/>
      <c r="F53" s="4"/>
      <c r="G53" s="4"/>
      <c r="H53" s="4"/>
      <c r="I53" s="4"/>
      <c r="J53" s="4"/>
      <c r="K53" s="4"/>
      <c r="L53" s="4"/>
    </row>
    <row r="54" spans="1:12" x14ac:dyDescent="0.25">
      <c r="A54" s="16" t="s">
        <v>44</v>
      </c>
      <c r="B54" s="16"/>
      <c r="C54" s="11">
        <f>C53/6</f>
        <v>340756.86305074353</v>
      </c>
      <c r="D54" s="11">
        <f t="shared" ref="D54" si="5">D53/6</f>
        <v>188431.83333333334</v>
      </c>
      <c r="E54" s="4"/>
      <c r="F54" s="4"/>
      <c r="G54" s="4"/>
      <c r="H54" s="4"/>
      <c r="I54" s="4"/>
      <c r="J54" s="4"/>
      <c r="K54" s="4"/>
      <c r="L54" s="4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x14ac:dyDescent="0.25">
      <c r="A56" s="19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8.75" x14ac:dyDescent="0.25">
      <c r="A57" s="12" t="s">
        <v>41</v>
      </c>
      <c r="B57" s="13" t="s">
        <v>40</v>
      </c>
      <c r="C57" s="22" t="s">
        <v>42</v>
      </c>
      <c r="D57" s="22" t="s">
        <v>39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26" t="s">
        <v>11</v>
      </c>
      <c r="B58" s="26" t="s">
        <v>10</v>
      </c>
      <c r="C58" s="27">
        <v>1264312.690125369</v>
      </c>
      <c r="D58" s="27">
        <v>648858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4" t="s">
        <v>43</v>
      </c>
      <c r="B59" s="14"/>
      <c r="C59" s="15">
        <f>SUBTOTAL(109,C58:C58)</f>
        <v>1264312.690125369</v>
      </c>
      <c r="D59" s="15">
        <f>SUBTOTAL(109,D58:D58)</f>
        <v>648858</v>
      </c>
    </row>
    <row r="60" spans="1:12" x14ac:dyDescent="0.25">
      <c r="A60" s="16" t="s">
        <v>44</v>
      </c>
      <c r="B60" s="16"/>
      <c r="C60" s="11">
        <f>C59/6</f>
        <v>210718.78168756151</v>
      </c>
      <c r="D60" s="11">
        <f t="shared" ref="D60" si="6">D59/6</f>
        <v>108143</v>
      </c>
    </row>
  </sheetData>
  <mergeCells count="4"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2017 HRP Target</vt:lpstr>
      <vt:lpstr>Summary Since Jan.17</vt:lpstr>
      <vt:lpstr>Jan.17</vt:lpstr>
      <vt:lpstr>Feb.17</vt:lpstr>
      <vt:lpstr>Mar.17</vt:lpstr>
      <vt:lpstr>Apr.17</vt:lpstr>
      <vt:lpstr>May.17</vt:lpstr>
      <vt:lpstr>Jun.17</vt:lpstr>
      <vt:lpstr>Jul.17</vt:lpstr>
      <vt:lpstr>PMR May.17</vt:lpstr>
      <vt:lpstr>PMR Jun.17</vt:lpstr>
      <vt:lpstr>PMR Jul.17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 Michel</dc:creator>
  <cp:lastModifiedBy>TIA Michel</cp:lastModifiedBy>
  <dcterms:created xsi:type="dcterms:W3CDTF">2017-03-08T12:09:38Z</dcterms:created>
  <dcterms:modified xsi:type="dcterms:W3CDTF">2017-08-11T13:12:50Z</dcterms:modified>
</cp:coreProperties>
</file>