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comments2.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comments3.xml" ContentType="application/vnd.openxmlformats-officedocument.spreadsheetml.comments+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khaingm\Dropbox\MYAYA_IMO\Kachin\Cluster_Report\2017\Sep\"/>
    </mc:Choice>
  </mc:AlternateContent>
  <bookViews>
    <workbookView xWindow="0" yWindow="1365" windowWidth="10125" windowHeight="2775" tabRatio="814" activeTab="2"/>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r:id="rId18"/>
    <sheet name="Definition" sheetId="49" state="hidden" r:id="rId19"/>
  </sheets>
  <externalReferences>
    <externalReference r:id="rId20"/>
    <externalReference r:id="rId21"/>
    <externalReference r:id="rId22"/>
  </externalReferences>
  <definedNames>
    <definedName name="_xlnm._FilterDatabase" localSheetId="0" hidden="1">'IDP locations'!$AI$4:$AJ$4</definedName>
    <definedName name="_xlnm._FilterDatabase" localSheetId="14" hidden="1">'NFI Distributions'!#REF!</definedName>
    <definedName name="_xlnm._FilterDatabase" localSheetId="9" hidden="1">'Shelter Gap Analysis'!$A$4:$X$172</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Col_Shelter_org">'Shelter Gap Analysis'!#REF!</definedName>
    <definedName name="Col_Shelter_Perm_B">'Shelter Gap Analysis'!#REF!</definedName>
    <definedName name="Col_Shelter_Perm_P">'Shelter Gap Analysis'!#REF!</definedName>
    <definedName name="Col_Shelter_Perm_U">'Shelter Gap Analysis'!#REF!</definedName>
    <definedName name="Col_Shelter_State">'Shelter Gap Analysis'!#REF!</definedName>
    <definedName name="Col_Shelter_Temp_B">'Shelter Gap Analysis'!#REF!</definedName>
    <definedName name="Col_Shelter_Temp_P">'Shelter Gap Analysis'!#REF!</definedName>
    <definedName name="Col_Shelter_Temp_U">'Shelter Gap Analysis'!#REF!</definedName>
    <definedName name="Col_Shelter_Tent_Dist">'Shelter Gap Analysis'!#REF!</definedName>
    <definedName name="Col_Shelter_Township">'Shelter Gap Analysis'!#REF!</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Pipeline">#REF!</definedName>
    <definedName name="NFI_Blanket_Stock">#REF!</definedName>
    <definedName name="NFI_Blanket_Track">'NFI Distributions'!$AF:$AF</definedName>
    <definedName name="NFI_Clothes_Pipeline">#REF!</definedName>
    <definedName name="NFI_Clothes_Stock">#REF!</definedName>
    <definedName name="NFI_Clothes_Track">'NFI Distributions'!$AH:$AH</definedName>
    <definedName name="NFI_Core_Pipeline">#REF!</definedName>
    <definedName name="NFI_Core_Stock">#REF!</definedName>
    <definedName name="NFI_Core_Track">'NFI Distributions'!$AB:$AB</definedName>
    <definedName name="NFI_Expiration">'NFI Distributions'!#REF!</definedName>
    <definedName name="NFI_Hygiene_Pipeline">#REF!</definedName>
    <definedName name="NFI_Hygiene_Stock">#REF!</definedName>
    <definedName name="NFI_Hygiene_Track">'NFI Distributions'!$AA:$AA</definedName>
    <definedName name="NFI_Kitchen_Pipeline">#REF!</definedName>
    <definedName name="NFI_Kitchen_Stock">#REF!</definedName>
    <definedName name="NFI_Kitchen_Track">'NFI Distributions'!$AG:$AG</definedName>
    <definedName name="NFI_Monitor_Date">Definition!$B$24</definedName>
    <definedName name="NFI_Month">'NFI Distributions'!$B:$B</definedName>
    <definedName name="NFI_Mosquito_Pipeline">#REF!</definedName>
    <definedName name="NFI_Mosquito_Stock">#REF!</definedName>
    <definedName name="NFI_Mosquito_Track">'NFI Distributions'!$AD:$AD</definedName>
    <definedName name="NFI_Org">'NFI Distributions'!$D:$D</definedName>
    <definedName name="NFI_Pipeline_State">#REF!</definedName>
    <definedName name="NFI_Pipeline_Township">#REF!</definedName>
    <definedName name="NFI_Plastic_Bucket_Pipeline">#REF!</definedName>
    <definedName name="NFI_Plastic_Bucket_Stock">#REF!</definedName>
    <definedName name="NFI_Plastic_Bucket_Track">'NFI Distributions'!$AI:$AI</definedName>
    <definedName name="NFI_Plastic_Mat_Pipeline">#REF!</definedName>
    <definedName name="NFI_Plastic_Mat_Stock">#REF!</definedName>
    <definedName name="NFI_Plastic_Mat_Track">'NFI Distributions'!$AJ:$AJ</definedName>
    <definedName name="NFI_Sanitary_Pipeline">#REF!</definedName>
    <definedName name="NFI_Sanitary_Stock">#REF!</definedName>
    <definedName name="NFI_Sanitary_Track">'NFI Distributions'!$AC:$AC</definedName>
    <definedName name="NFI_State">'NFI Distributions'!$F:$F</definedName>
    <definedName name="NFI_Tarpaulin_Pipeline">#REF!</definedName>
    <definedName name="NFI_Tarpaulin_Stock">#REF!</definedName>
    <definedName name="NFI_Tarpaulin_Track">'NFI Distributions'!$AE:$AE</definedName>
    <definedName name="NFI_Township">'NFI Distributions'!$G:$G</definedName>
    <definedName name="NFI_Winter_Blanket_Pipeline">#REF!</definedName>
    <definedName name="NFI_Winter_Blanket_Stock">#REF!</definedName>
    <definedName name="NFI_Winter_Blanket_Track">'NFI Distributions'!$AN:$AN</definedName>
    <definedName name="NFI_Winter_Clothes_Adult_Pipeline">#REF!</definedName>
    <definedName name="NFI_Winter_Clothes_Adult_Stock">#REF!</definedName>
    <definedName name="NFI_Winter_Clothes_Adult_Track">'NFI Distributions'!$AK:$AK</definedName>
    <definedName name="NFI_Winter_Clothes_Children_Pipeline">#REF!</definedName>
    <definedName name="NFI_Winter_Clothes_Children_Stock">#REF!</definedName>
    <definedName name="NFI_Winter_Clothes_Children_Track">'NFI Distributions'!$AL:$AL</definedName>
    <definedName name="NFI_Winter_Items_Other_Pipeline">#REF!</definedName>
    <definedName name="NFI_Winter_Items_Other_Stock">#REF!</definedName>
    <definedName name="NFI_Winter_Items_Other_Track">'NFI Distributions'!$AM:$AM</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locations'!$M$4:$S$104</definedName>
    <definedName name="_xlnm.Print_Area" localSheetId="4">Map!$A:$O</definedName>
    <definedName name="_xlnm.Print_Area" localSheetId="14">'NFI Distributions'!$B$5:$P$5</definedName>
    <definedName name="_xlnm.Print_Area" localSheetId="16">'NFI Summary'!$B$2:$T$58</definedName>
    <definedName name="_xlnm.Print_Area" localSheetId="12">'Shelter overview'!$A$2:$N$47</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3"/>
    <pivotCache cacheId="1" r:id="rId24"/>
    <pivotCache cacheId="2" r:id="rId25"/>
    <pivotCache cacheId="17" r:id="rId26"/>
    <pivotCache cacheId="22" r:id="rId27"/>
  </pivotCaches>
</workbook>
</file>

<file path=xl/calcChain.xml><?xml version="1.0" encoding="utf-8"?>
<calcChain xmlns="http://schemas.openxmlformats.org/spreadsheetml/2006/main">
  <c r="AA8" i="20" l="1"/>
  <c r="AB8" i="20"/>
  <c r="AC8" i="20"/>
  <c r="AD8" i="20"/>
  <c r="AE8" i="20"/>
  <c r="AF8" i="20"/>
  <c r="AG8" i="20"/>
  <c r="AH8" i="20"/>
  <c r="AI8" i="20"/>
  <c r="AJ8" i="20"/>
  <c r="AK8" i="20"/>
  <c r="AL8" i="20"/>
  <c r="AM8" i="20"/>
  <c r="AN8" i="20"/>
  <c r="AO8" i="20"/>
  <c r="AP8" i="20"/>
  <c r="AQ8" i="20"/>
  <c r="AR8" i="20"/>
  <c r="AA7" i="20"/>
  <c r="AB7" i="20"/>
  <c r="AC7" i="20"/>
  <c r="AD7" i="20"/>
  <c r="AE7" i="20"/>
  <c r="AF7" i="20"/>
  <c r="AG7" i="20"/>
  <c r="AH7" i="20"/>
  <c r="AI7" i="20"/>
  <c r="AJ7" i="20"/>
  <c r="AK7" i="20"/>
  <c r="AL7" i="20"/>
  <c r="AM7" i="20"/>
  <c r="AN7" i="20"/>
  <c r="AO7" i="20"/>
  <c r="AP7" i="20"/>
  <c r="AQ7" i="20"/>
  <c r="AR7" i="20"/>
  <c r="AA9" i="20" l="1"/>
  <c r="AB9" i="20"/>
  <c r="AC9" i="20"/>
  <c r="AD9" i="20"/>
  <c r="AE9" i="20"/>
  <c r="AF9" i="20"/>
  <c r="AG9" i="20"/>
  <c r="AH9" i="20"/>
  <c r="AI9" i="20"/>
  <c r="AJ9" i="20"/>
  <c r="AK9" i="20"/>
  <c r="AL9" i="20"/>
  <c r="AM9" i="20"/>
  <c r="AN9" i="20"/>
  <c r="AO9" i="20"/>
  <c r="AP9" i="20"/>
  <c r="AQ9" i="20"/>
  <c r="AR9" i="20"/>
  <c r="AJ25" i="66"/>
  <c r="AJ24" i="66"/>
  <c r="AJ23" i="66"/>
  <c r="AJ21" i="66"/>
  <c r="AJ19" i="66"/>
  <c r="AJ20" i="66"/>
  <c r="AJ17" i="66"/>
  <c r="AJ15" i="66"/>
  <c r="AJ14" i="66"/>
  <c r="AJ13" i="66"/>
  <c r="AJ12" i="66"/>
  <c r="AJ11" i="66"/>
  <c r="AJ10" i="66"/>
  <c r="AJ9" i="66"/>
  <c r="AJ8" i="66"/>
  <c r="AJ7" i="66"/>
  <c r="AJ6" i="66"/>
  <c r="AJ5" i="66"/>
  <c r="AJ4" i="66"/>
  <c r="AJ3" i="66"/>
  <c r="AJ16" i="66"/>
  <c r="AJ18" i="66"/>
  <c r="AJ22" i="66"/>
  <c r="AA6" i="20"/>
  <c r="AB6" i="20"/>
  <c r="AC6" i="20"/>
  <c r="AD6" i="20"/>
  <c r="AE6" i="20"/>
  <c r="AF6" i="20"/>
  <c r="AG6" i="20"/>
  <c r="AH6" i="20"/>
  <c r="AI6" i="20"/>
  <c r="AJ6" i="20"/>
  <c r="AK6" i="20"/>
  <c r="AL6" i="20"/>
  <c r="AM6" i="20"/>
  <c r="AN6" i="20"/>
  <c r="AO6" i="20"/>
  <c r="AP6" i="20"/>
  <c r="AQ6" i="20"/>
  <c r="AR6" i="20"/>
  <c r="T289" i="14" l="1"/>
  <c r="AE289" i="14"/>
  <c r="AF289" i="14"/>
  <c r="AG289" i="14" s="1"/>
  <c r="T27" i="14" l="1"/>
  <c r="AF27" i="14"/>
  <c r="AG27" i="14" s="1"/>
  <c r="AA10" i="20"/>
  <c r="AB10" i="20"/>
  <c r="AC10" i="20"/>
  <c r="AD10" i="20"/>
  <c r="AE10" i="20"/>
  <c r="AF10" i="20"/>
  <c r="AG10" i="20"/>
  <c r="AH10" i="20"/>
  <c r="AI10" i="20"/>
  <c r="AJ10" i="20"/>
  <c r="AK10" i="20"/>
  <c r="AL10" i="20"/>
  <c r="AM10" i="20"/>
  <c r="AN10" i="20"/>
  <c r="AO10" i="20"/>
  <c r="AP10" i="20"/>
  <c r="AQ10" i="20"/>
  <c r="AR10" i="20"/>
  <c r="AA11" i="20"/>
  <c r="AB11" i="20"/>
  <c r="AC11" i="20"/>
  <c r="AD11" i="20"/>
  <c r="AE11" i="20"/>
  <c r="AF11" i="20"/>
  <c r="AG11" i="20"/>
  <c r="AH11" i="20"/>
  <c r="AI11" i="20"/>
  <c r="AJ11" i="20"/>
  <c r="AK11" i="20"/>
  <c r="AL11" i="20"/>
  <c r="AM11" i="20"/>
  <c r="AN11" i="20"/>
  <c r="AO11" i="20"/>
  <c r="AP11" i="20"/>
  <c r="AQ11" i="20"/>
  <c r="AR11" i="20"/>
  <c r="AA12" i="20"/>
  <c r="AB12" i="20"/>
  <c r="AC12" i="20"/>
  <c r="AD12" i="20"/>
  <c r="AE12" i="20"/>
  <c r="AF12" i="20"/>
  <c r="AG12" i="20"/>
  <c r="AH12" i="20"/>
  <c r="AI12" i="20"/>
  <c r="AJ12" i="20"/>
  <c r="AK12" i="20"/>
  <c r="AL12" i="20"/>
  <c r="AM12" i="20"/>
  <c r="AN12" i="20"/>
  <c r="AO12" i="20"/>
  <c r="AP12" i="20"/>
  <c r="AQ12" i="20"/>
  <c r="AR12" i="20"/>
  <c r="AA13" i="20"/>
  <c r="AB13" i="20"/>
  <c r="AC13" i="20"/>
  <c r="AD13" i="20"/>
  <c r="AE13" i="20"/>
  <c r="AF13" i="20"/>
  <c r="AG13" i="20"/>
  <c r="AH13" i="20"/>
  <c r="AI13" i="20"/>
  <c r="AJ13" i="20"/>
  <c r="AK13" i="20"/>
  <c r="AL13" i="20"/>
  <c r="AM13" i="20"/>
  <c r="AN13" i="20"/>
  <c r="AO13" i="20"/>
  <c r="AP13" i="20"/>
  <c r="AQ13" i="20"/>
  <c r="AR13" i="20"/>
  <c r="AA14" i="20"/>
  <c r="AB14" i="20"/>
  <c r="AC14" i="20"/>
  <c r="AD14" i="20"/>
  <c r="AE14" i="20"/>
  <c r="AF14" i="20"/>
  <c r="AG14" i="20"/>
  <c r="AH14" i="20"/>
  <c r="AI14" i="20"/>
  <c r="AJ14" i="20"/>
  <c r="AK14" i="20"/>
  <c r="AL14" i="20"/>
  <c r="AM14" i="20"/>
  <c r="AN14" i="20"/>
  <c r="AO14" i="20"/>
  <c r="AP14" i="20"/>
  <c r="AQ14" i="20"/>
  <c r="AR14" i="20"/>
  <c r="AA15" i="20"/>
  <c r="AB15" i="20"/>
  <c r="AC15" i="20"/>
  <c r="AD15" i="20"/>
  <c r="AE15" i="20"/>
  <c r="AF15" i="20"/>
  <c r="AG15" i="20"/>
  <c r="AH15" i="20"/>
  <c r="AI15" i="20"/>
  <c r="AJ15" i="20"/>
  <c r="AK15" i="20"/>
  <c r="AL15" i="20"/>
  <c r="AM15" i="20"/>
  <c r="AN15" i="20"/>
  <c r="AO15" i="20"/>
  <c r="AP15" i="20"/>
  <c r="AQ15" i="20"/>
  <c r="AR15" i="20"/>
  <c r="AA16" i="20"/>
  <c r="AB16" i="20"/>
  <c r="AC16" i="20"/>
  <c r="AD16" i="20"/>
  <c r="AE16" i="20"/>
  <c r="AF16" i="20"/>
  <c r="AG16" i="20"/>
  <c r="AH16" i="20"/>
  <c r="AI16" i="20"/>
  <c r="AJ16" i="20"/>
  <c r="AK16" i="20"/>
  <c r="AL16" i="20"/>
  <c r="AM16" i="20"/>
  <c r="AN16" i="20"/>
  <c r="AO16" i="20"/>
  <c r="AP16" i="20"/>
  <c r="AQ16" i="20"/>
  <c r="AR16" i="20"/>
  <c r="T83" i="14"/>
  <c r="AF83" i="14"/>
  <c r="AG83" i="14" s="1"/>
  <c r="S14" i="95" l="1"/>
  <c r="AA17" i="20" l="1"/>
  <c r="AB17" i="20"/>
  <c r="AC17" i="20"/>
  <c r="AD17" i="20"/>
  <c r="AE17" i="20"/>
  <c r="AF17" i="20"/>
  <c r="AG17" i="20"/>
  <c r="AH17" i="20"/>
  <c r="AI17" i="20"/>
  <c r="AJ17" i="20"/>
  <c r="AK17" i="20"/>
  <c r="AL17" i="20"/>
  <c r="AM17" i="20"/>
  <c r="AN17" i="20"/>
  <c r="AO17" i="20"/>
  <c r="AP17" i="20"/>
  <c r="AQ17" i="20"/>
  <c r="AR17" i="20"/>
  <c r="AA18" i="20"/>
  <c r="AA19" i="20"/>
  <c r="AB18" i="20"/>
  <c r="AB19" i="20"/>
  <c r="AC18" i="20"/>
  <c r="AC19" i="20"/>
  <c r="AD18" i="20"/>
  <c r="AD19" i="20"/>
  <c r="AE18" i="20"/>
  <c r="AE19" i="20"/>
  <c r="AF18" i="20"/>
  <c r="AF19" i="20"/>
  <c r="AG18" i="20"/>
  <c r="AG19" i="20"/>
  <c r="AH18" i="20"/>
  <c r="AH19" i="20"/>
  <c r="AI18" i="20"/>
  <c r="AI19" i="20"/>
  <c r="AJ18" i="20"/>
  <c r="AJ19" i="20"/>
  <c r="AK18" i="20"/>
  <c r="AK19" i="20"/>
  <c r="AL18" i="20"/>
  <c r="AL19" i="20"/>
  <c r="AM18" i="20"/>
  <c r="AM19" i="20"/>
  <c r="AN18" i="20"/>
  <c r="AN19" i="20"/>
  <c r="AO18" i="20"/>
  <c r="AO19" i="20"/>
  <c r="AP18" i="20"/>
  <c r="AP19" i="20"/>
  <c r="AQ18" i="20"/>
  <c r="AQ19" i="20"/>
  <c r="AR18" i="20"/>
  <c r="AR19" i="20"/>
  <c r="AA20" i="20"/>
  <c r="AB20" i="20"/>
  <c r="AC20" i="20"/>
  <c r="AD20" i="20"/>
  <c r="AE20" i="20"/>
  <c r="AF20" i="20"/>
  <c r="AG20" i="20"/>
  <c r="AH20" i="20"/>
  <c r="AI20" i="20"/>
  <c r="AJ20" i="20"/>
  <c r="AK20" i="20"/>
  <c r="AL20" i="20"/>
  <c r="AM20" i="20"/>
  <c r="AN20" i="20"/>
  <c r="AO20" i="20"/>
  <c r="AP20" i="20"/>
  <c r="AQ20" i="20"/>
  <c r="AR20" i="20"/>
  <c r="AA21" i="20"/>
  <c r="AB21" i="20"/>
  <c r="AC21" i="20"/>
  <c r="AD21" i="20"/>
  <c r="AE21" i="20"/>
  <c r="AF21" i="20"/>
  <c r="AG21" i="20"/>
  <c r="AH21" i="20"/>
  <c r="AI21" i="20"/>
  <c r="AJ21" i="20"/>
  <c r="AK21" i="20"/>
  <c r="AL21" i="20"/>
  <c r="AM21" i="20"/>
  <c r="AN21" i="20"/>
  <c r="AO21" i="20"/>
  <c r="AP21" i="20"/>
  <c r="AQ21" i="20"/>
  <c r="AR21" i="20"/>
  <c r="AA22" i="20" l="1"/>
  <c r="AB22" i="20"/>
  <c r="AC22" i="20"/>
  <c r="AD22" i="20"/>
  <c r="AE22" i="20"/>
  <c r="AF22" i="20"/>
  <c r="AG22" i="20"/>
  <c r="AH22" i="20"/>
  <c r="AI22" i="20"/>
  <c r="AJ22" i="20"/>
  <c r="AK22" i="20"/>
  <c r="AL22" i="20"/>
  <c r="AM22" i="20"/>
  <c r="AN22" i="20"/>
  <c r="AO22" i="20"/>
  <c r="AP22" i="20"/>
  <c r="AQ22" i="20"/>
  <c r="AR22" i="20"/>
  <c r="AA23" i="20"/>
  <c r="AB23" i="20"/>
  <c r="AC23" i="20"/>
  <c r="AD23" i="20"/>
  <c r="AE23" i="20"/>
  <c r="AF23" i="20"/>
  <c r="AG23" i="20"/>
  <c r="AH23" i="20"/>
  <c r="AI23" i="20"/>
  <c r="AJ23" i="20"/>
  <c r="AK23" i="20"/>
  <c r="AL23" i="20"/>
  <c r="AM23" i="20"/>
  <c r="AN23" i="20"/>
  <c r="AO23" i="20"/>
  <c r="AP23" i="20"/>
  <c r="AQ23" i="20"/>
  <c r="AR23" i="20"/>
  <c r="H14" i="95" l="1"/>
  <c r="J14" i="95"/>
  <c r="M14" i="95"/>
  <c r="P14" i="95"/>
  <c r="V14" i="95"/>
  <c r="Y14" i="95"/>
  <c r="AE14" i="95"/>
  <c r="AH14" i="95"/>
  <c r="AK14" i="95"/>
  <c r="AN14" i="95"/>
  <c r="AQ14" i="95"/>
  <c r="AW14" i="95"/>
  <c r="AZ14" i="95"/>
  <c r="BF14" i="95"/>
  <c r="G14" i="95"/>
  <c r="F27" i="62"/>
  <c r="C10" i="62"/>
  <c r="M15" i="19" l="1"/>
  <c r="Z5" i="33" l="1"/>
  <c r="T25" i="14"/>
  <c r="AF25" i="14"/>
  <c r="AG25" i="14" s="1"/>
  <c r="AA24" i="20"/>
  <c r="AB24" i="20"/>
  <c r="AC24" i="20"/>
  <c r="AD24" i="20"/>
  <c r="AE24" i="20"/>
  <c r="AF24" i="20"/>
  <c r="AG24" i="20"/>
  <c r="AH24" i="20"/>
  <c r="AI24" i="20"/>
  <c r="AJ24" i="20"/>
  <c r="AK24" i="20"/>
  <c r="AL24" i="20"/>
  <c r="AM24" i="20"/>
  <c r="AN24" i="20"/>
  <c r="AO24" i="20"/>
  <c r="AP24" i="20"/>
  <c r="AQ24" i="20"/>
  <c r="AR24" i="20"/>
  <c r="N101" i="19"/>
  <c r="O101" i="19"/>
  <c r="P101" i="19"/>
  <c r="Q101" i="19"/>
  <c r="M101" i="19"/>
  <c r="I101" i="19"/>
  <c r="J101" i="19"/>
  <c r="K101" i="19"/>
  <c r="L101" i="19"/>
  <c r="H101" i="19"/>
  <c r="F21" i="62" l="1"/>
  <c r="E21" i="62"/>
  <c r="I171" i="19"/>
  <c r="J171" i="19"/>
  <c r="K171" i="19"/>
  <c r="L171" i="19"/>
  <c r="I148" i="19"/>
  <c r="J148" i="19"/>
  <c r="K148" i="19"/>
  <c r="L148" i="19"/>
  <c r="H148" i="19"/>
  <c r="I145" i="19"/>
  <c r="J145" i="19"/>
  <c r="K145" i="19"/>
  <c r="L145" i="19"/>
  <c r="H145" i="19"/>
  <c r="I142" i="19"/>
  <c r="J142" i="19"/>
  <c r="K142" i="19"/>
  <c r="L142" i="19"/>
  <c r="H142" i="19"/>
  <c r="I140" i="19"/>
  <c r="J140" i="19"/>
  <c r="K140" i="19"/>
  <c r="L140" i="19"/>
  <c r="H140" i="19"/>
  <c r="I130" i="19"/>
  <c r="J130" i="19"/>
  <c r="K130" i="19"/>
  <c r="L130" i="19"/>
  <c r="H130" i="19"/>
  <c r="I124" i="19"/>
  <c r="J124" i="19"/>
  <c r="K124" i="19"/>
  <c r="L124" i="19"/>
  <c r="H124" i="19"/>
  <c r="I97" i="19"/>
  <c r="J97" i="19"/>
  <c r="K97" i="19"/>
  <c r="L97" i="19"/>
  <c r="H97" i="19"/>
  <c r="I83" i="19"/>
  <c r="J83" i="19"/>
  <c r="K83" i="19"/>
  <c r="L83" i="19"/>
  <c r="H83" i="19"/>
  <c r="I80" i="19"/>
  <c r="J80" i="19"/>
  <c r="K80" i="19"/>
  <c r="L80" i="19"/>
  <c r="H80" i="19"/>
  <c r="I74" i="19"/>
  <c r="J74" i="19"/>
  <c r="K74" i="19"/>
  <c r="L74" i="19"/>
  <c r="H74" i="19"/>
  <c r="I70" i="19"/>
  <c r="J70" i="19"/>
  <c r="K70" i="19"/>
  <c r="L70" i="19"/>
  <c r="H70" i="19"/>
  <c r="I60" i="19"/>
  <c r="J60" i="19"/>
  <c r="K60" i="19"/>
  <c r="L60" i="19"/>
  <c r="H60" i="19"/>
  <c r="I49" i="19"/>
  <c r="J49" i="19"/>
  <c r="K49" i="19"/>
  <c r="L49" i="19"/>
  <c r="H49" i="19"/>
  <c r="I47" i="19"/>
  <c r="J47" i="19"/>
  <c r="K47" i="19"/>
  <c r="L47" i="19"/>
  <c r="H47" i="19"/>
  <c r="I45" i="19"/>
  <c r="J45" i="19"/>
  <c r="K45" i="19"/>
  <c r="L45" i="19"/>
  <c r="H45" i="19"/>
  <c r="I21" i="19"/>
  <c r="J21" i="19"/>
  <c r="K21" i="19"/>
  <c r="L21" i="19"/>
  <c r="H21" i="19"/>
  <c r="I15" i="19"/>
  <c r="J15" i="19"/>
  <c r="K15" i="19"/>
  <c r="L15" i="19"/>
  <c r="H15" i="19"/>
  <c r="E10" i="62" l="1"/>
  <c r="E13" i="62"/>
  <c r="E17" i="62"/>
  <c r="E22" i="62"/>
  <c r="E26" i="62"/>
  <c r="E14" i="62"/>
  <c r="E18" i="62"/>
  <c r="E23" i="62"/>
  <c r="E27" i="62"/>
  <c r="E12" i="62"/>
  <c r="E16" i="62"/>
  <c r="E20" i="62"/>
  <c r="E25" i="62"/>
  <c r="E11" i="62"/>
  <c r="E15" i="62"/>
  <c r="E19" i="62"/>
  <c r="E24" i="62"/>
  <c r="W170" i="19"/>
  <c r="V170" i="19"/>
  <c r="U170" i="19"/>
  <c r="T170" i="19"/>
  <c r="S170" i="19"/>
  <c r="W169" i="19"/>
  <c r="V169" i="19"/>
  <c r="U169" i="19"/>
  <c r="T169" i="19"/>
  <c r="S169" i="19"/>
  <c r="W168" i="19"/>
  <c r="V168" i="19"/>
  <c r="U168" i="19"/>
  <c r="T168" i="19"/>
  <c r="S168" i="19"/>
  <c r="W167" i="19"/>
  <c r="V167" i="19"/>
  <c r="U167" i="19"/>
  <c r="T167" i="19"/>
  <c r="S167" i="19"/>
  <c r="W166" i="19"/>
  <c r="V166" i="19"/>
  <c r="U166" i="19"/>
  <c r="T166" i="19"/>
  <c r="S166" i="19"/>
  <c r="W165" i="19"/>
  <c r="V165" i="19"/>
  <c r="U165" i="19"/>
  <c r="T165" i="19"/>
  <c r="S165" i="19"/>
  <c r="W164" i="19"/>
  <c r="V164" i="19"/>
  <c r="U164" i="19"/>
  <c r="T164" i="19"/>
  <c r="S164" i="19"/>
  <c r="W163" i="19"/>
  <c r="V163" i="19"/>
  <c r="U163" i="19"/>
  <c r="T163" i="19"/>
  <c r="S163" i="19"/>
  <c r="W162" i="19"/>
  <c r="V162" i="19"/>
  <c r="U162" i="19"/>
  <c r="T162" i="19"/>
  <c r="S162" i="19"/>
  <c r="W161" i="19"/>
  <c r="V161" i="19"/>
  <c r="U161" i="19"/>
  <c r="T161" i="19"/>
  <c r="S161" i="19"/>
  <c r="W160" i="19"/>
  <c r="V160" i="19"/>
  <c r="U160" i="19"/>
  <c r="T160" i="19"/>
  <c r="S160" i="19"/>
  <c r="W159" i="19"/>
  <c r="V159" i="19"/>
  <c r="U159" i="19"/>
  <c r="T159" i="19"/>
  <c r="S159" i="19"/>
  <c r="W158" i="19"/>
  <c r="V158" i="19"/>
  <c r="U158" i="19"/>
  <c r="T158" i="19"/>
  <c r="S158" i="19"/>
  <c r="W157" i="19"/>
  <c r="V157" i="19"/>
  <c r="U157" i="19"/>
  <c r="T157" i="19"/>
  <c r="S157" i="19"/>
  <c r="W156" i="19"/>
  <c r="V156" i="19"/>
  <c r="U156" i="19"/>
  <c r="T156" i="19"/>
  <c r="S156" i="19"/>
  <c r="W155" i="19"/>
  <c r="V155" i="19"/>
  <c r="U155" i="19"/>
  <c r="T155" i="19"/>
  <c r="W154" i="19"/>
  <c r="V154" i="19"/>
  <c r="U154" i="19"/>
  <c r="T154" i="19"/>
  <c r="S154" i="19"/>
  <c r="W153" i="19"/>
  <c r="V153" i="19"/>
  <c r="U153" i="19"/>
  <c r="T153" i="19"/>
  <c r="S153" i="19"/>
  <c r="W152" i="19"/>
  <c r="V152" i="19"/>
  <c r="U152" i="19"/>
  <c r="T152" i="19"/>
  <c r="S152" i="19"/>
  <c r="W151" i="19"/>
  <c r="V151" i="19"/>
  <c r="U151" i="19"/>
  <c r="T151" i="19"/>
  <c r="S151" i="19"/>
  <c r="W150" i="19"/>
  <c r="V150" i="19"/>
  <c r="U150" i="19"/>
  <c r="T150" i="19"/>
  <c r="S150" i="19"/>
  <c r="W149" i="19"/>
  <c r="V149" i="19"/>
  <c r="U149" i="19"/>
  <c r="T149" i="19"/>
  <c r="S149" i="19"/>
  <c r="W147" i="19"/>
  <c r="V147" i="19"/>
  <c r="U147" i="19"/>
  <c r="T147" i="19"/>
  <c r="S147" i="19"/>
  <c r="W146" i="19"/>
  <c r="V146" i="19"/>
  <c r="U146" i="19"/>
  <c r="T146" i="19"/>
  <c r="S146" i="19"/>
  <c r="W144" i="19"/>
  <c r="V144" i="19"/>
  <c r="U144" i="19"/>
  <c r="T144" i="19"/>
  <c r="S144" i="19"/>
  <c r="W143" i="19"/>
  <c r="V143" i="19"/>
  <c r="U143" i="19"/>
  <c r="T143" i="19"/>
  <c r="S143" i="19"/>
  <c r="W141" i="19"/>
  <c r="V141" i="19"/>
  <c r="U141" i="19"/>
  <c r="T141" i="19"/>
  <c r="S141" i="19"/>
  <c r="W123" i="19"/>
  <c r="V123" i="19"/>
  <c r="U123" i="19"/>
  <c r="T123" i="19"/>
  <c r="S123" i="19"/>
  <c r="W122" i="19"/>
  <c r="V122" i="19"/>
  <c r="U122" i="19"/>
  <c r="T122" i="19"/>
  <c r="S122" i="19"/>
  <c r="W121" i="19"/>
  <c r="V121" i="19"/>
  <c r="U121" i="19"/>
  <c r="T121" i="19"/>
  <c r="S121" i="19"/>
  <c r="W120" i="19"/>
  <c r="V120" i="19"/>
  <c r="U120" i="19"/>
  <c r="T120" i="19"/>
  <c r="S120" i="19"/>
  <c r="W119" i="19"/>
  <c r="V119" i="19"/>
  <c r="U119" i="19"/>
  <c r="T119" i="19"/>
  <c r="S119" i="19"/>
  <c r="W118" i="19"/>
  <c r="V118" i="19"/>
  <c r="U118" i="19"/>
  <c r="T118" i="19"/>
  <c r="S118" i="19"/>
  <c r="W117" i="19"/>
  <c r="V117" i="19"/>
  <c r="U117" i="19"/>
  <c r="T117" i="19"/>
  <c r="S117" i="19"/>
  <c r="W116" i="19"/>
  <c r="V116" i="19"/>
  <c r="U116" i="19"/>
  <c r="T116" i="19"/>
  <c r="S116" i="19"/>
  <c r="W115" i="19"/>
  <c r="V115" i="19"/>
  <c r="U115" i="19"/>
  <c r="T115" i="19"/>
  <c r="S115" i="19"/>
  <c r="W114" i="19"/>
  <c r="V114" i="19"/>
  <c r="U114" i="19"/>
  <c r="T114" i="19"/>
  <c r="S114" i="19"/>
  <c r="W113" i="19"/>
  <c r="V113" i="19"/>
  <c r="U113" i="19"/>
  <c r="T113" i="19"/>
  <c r="S113" i="19"/>
  <c r="W112" i="19"/>
  <c r="V112" i="19"/>
  <c r="U112" i="19"/>
  <c r="T112" i="19"/>
  <c r="S112" i="19"/>
  <c r="W111" i="19"/>
  <c r="V111" i="19"/>
  <c r="U111" i="19"/>
  <c r="T111" i="19"/>
  <c r="S111" i="19"/>
  <c r="W110" i="19"/>
  <c r="V110" i="19"/>
  <c r="U110" i="19"/>
  <c r="T110" i="19"/>
  <c r="S110" i="19"/>
  <c r="W109" i="19"/>
  <c r="V109" i="19"/>
  <c r="U109" i="19"/>
  <c r="T109" i="19"/>
  <c r="S109" i="19"/>
  <c r="W108" i="19"/>
  <c r="V108" i="19"/>
  <c r="U108" i="19"/>
  <c r="T108" i="19"/>
  <c r="S108" i="19"/>
  <c r="W107" i="19"/>
  <c r="V107" i="19"/>
  <c r="U107" i="19"/>
  <c r="T107" i="19"/>
  <c r="S107" i="19"/>
  <c r="W106" i="19"/>
  <c r="V106" i="19"/>
  <c r="U106" i="19"/>
  <c r="T106" i="19"/>
  <c r="S106" i="19"/>
  <c r="W105" i="19"/>
  <c r="V105" i="19"/>
  <c r="U105" i="19"/>
  <c r="T105" i="19"/>
  <c r="S105" i="19"/>
  <c r="W104" i="19"/>
  <c r="V104" i="19"/>
  <c r="U104" i="19"/>
  <c r="T104" i="19"/>
  <c r="S104" i="19"/>
  <c r="W103" i="19"/>
  <c r="V103" i="19"/>
  <c r="U103" i="19"/>
  <c r="T103" i="19"/>
  <c r="S103" i="19"/>
  <c r="W102" i="19"/>
  <c r="V102" i="19"/>
  <c r="U102" i="19"/>
  <c r="T102" i="19"/>
  <c r="S102" i="19"/>
  <c r="W96" i="19"/>
  <c r="V96" i="19"/>
  <c r="U96" i="19"/>
  <c r="T96" i="19"/>
  <c r="S96" i="19"/>
  <c r="W95" i="19"/>
  <c r="V95" i="19"/>
  <c r="U95" i="19"/>
  <c r="T95" i="19"/>
  <c r="S95" i="19"/>
  <c r="W94" i="19"/>
  <c r="V94" i="19"/>
  <c r="U94" i="19"/>
  <c r="T94" i="19"/>
  <c r="S94" i="19"/>
  <c r="W93" i="19"/>
  <c r="V93" i="19"/>
  <c r="U93" i="19"/>
  <c r="T93" i="19"/>
  <c r="S93" i="19"/>
  <c r="W92" i="19"/>
  <c r="V92" i="19"/>
  <c r="U92" i="19"/>
  <c r="T92" i="19"/>
  <c r="S92" i="19"/>
  <c r="W91" i="19"/>
  <c r="V91" i="19"/>
  <c r="U91" i="19"/>
  <c r="T91" i="19"/>
  <c r="S91" i="19"/>
  <c r="W90" i="19"/>
  <c r="V90" i="19"/>
  <c r="U90" i="19"/>
  <c r="T90" i="19"/>
  <c r="S90" i="19"/>
  <c r="W89" i="19"/>
  <c r="V89" i="19"/>
  <c r="U89" i="19"/>
  <c r="T89" i="19"/>
  <c r="S89" i="19"/>
  <c r="W88" i="19"/>
  <c r="V88" i="19"/>
  <c r="U88" i="19"/>
  <c r="T88" i="19"/>
  <c r="S88" i="19"/>
  <c r="W87" i="19"/>
  <c r="V87" i="19"/>
  <c r="U87" i="19"/>
  <c r="T87" i="19"/>
  <c r="S87" i="19"/>
  <c r="W86" i="19"/>
  <c r="V86" i="19"/>
  <c r="U86" i="19"/>
  <c r="T86" i="19"/>
  <c r="S86" i="19"/>
  <c r="W85" i="19"/>
  <c r="V85" i="19"/>
  <c r="U85" i="19"/>
  <c r="T85" i="19"/>
  <c r="S85" i="19"/>
  <c r="W84" i="19"/>
  <c r="V84" i="19"/>
  <c r="U84" i="19"/>
  <c r="T84" i="19"/>
  <c r="S84" i="19"/>
  <c r="W82" i="19"/>
  <c r="V82" i="19"/>
  <c r="U82" i="19"/>
  <c r="T82" i="19"/>
  <c r="S82" i="19"/>
  <c r="W81" i="19"/>
  <c r="V81" i="19"/>
  <c r="U81" i="19"/>
  <c r="T81" i="19"/>
  <c r="S81" i="19"/>
  <c r="W79" i="19"/>
  <c r="V79" i="19"/>
  <c r="U79" i="19"/>
  <c r="T79" i="19"/>
  <c r="S79" i="19"/>
  <c r="W78" i="19"/>
  <c r="V78" i="19"/>
  <c r="U78" i="19"/>
  <c r="T78" i="19"/>
  <c r="S78" i="19"/>
  <c r="W77" i="19"/>
  <c r="V77" i="19"/>
  <c r="U77" i="19"/>
  <c r="T77" i="19"/>
  <c r="S77" i="19"/>
  <c r="W76" i="19"/>
  <c r="V76" i="19"/>
  <c r="U76" i="19"/>
  <c r="T76" i="19"/>
  <c r="S76" i="19"/>
  <c r="W75" i="19"/>
  <c r="V75" i="19"/>
  <c r="U75" i="19"/>
  <c r="T75" i="19"/>
  <c r="S75" i="19"/>
  <c r="W69" i="19"/>
  <c r="V69" i="19"/>
  <c r="U69" i="19"/>
  <c r="T69" i="19"/>
  <c r="S69" i="19"/>
  <c r="W68" i="19"/>
  <c r="V68" i="19"/>
  <c r="U68" i="19"/>
  <c r="T68" i="19"/>
  <c r="S68" i="19"/>
  <c r="W67" i="19"/>
  <c r="V67" i="19"/>
  <c r="U67" i="19"/>
  <c r="T67" i="19"/>
  <c r="S67" i="19"/>
  <c r="W66" i="19"/>
  <c r="V66" i="19"/>
  <c r="U66" i="19"/>
  <c r="T66" i="19"/>
  <c r="S66" i="19"/>
  <c r="W65" i="19"/>
  <c r="V65" i="19"/>
  <c r="U65" i="19"/>
  <c r="T65" i="19"/>
  <c r="S65" i="19"/>
  <c r="W64" i="19"/>
  <c r="V64" i="19"/>
  <c r="U64" i="19"/>
  <c r="T64" i="19"/>
  <c r="S64" i="19"/>
  <c r="W63" i="19"/>
  <c r="V63" i="19"/>
  <c r="U63" i="19"/>
  <c r="T63" i="19"/>
  <c r="S63" i="19"/>
  <c r="W62" i="19"/>
  <c r="V62" i="19"/>
  <c r="U62" i="19"/>
  <c r="T62" i="19"/>
  <c r="S62" i="19"/>
  <c r="W61" i="19"/>
  <c r="V61" i="19"/>
  <c r="U61" i="19"/>
  <c r="T61" i="19"/>
  <c r="S61" i="19"/>
  <c r="W44" i="19"/>
  <c r="V44" i="19"/>
  <c r="U44" i="19"/>
  <c r="T44" i="19"/>
  <c r="S44" i="19"/>
  <c r="W43" i="19"/>
  <c r="V43" i="19"/>
  <c r="U43" i="19"/>
  <c r="T43" i="19"/>
  <c r="S43" i="19"/>
  <c r="W42" i="19"/>
  <c r="V42" i="19"/>
  <c r="U42" i="19"/>
  <c r="T42" i="19"/>
  <c r="S42" i="19"/>
  <c r="W41" i="19"/>
  <c r="V41" i="19"/>
  <c r="U41" i="19"/>
  <c r="T41" i="19"/>
  <c r="S41" i="19"/>
  <c r="W40" i="19"/>
  <c r="V40" i="19"/>
  <c r="U40" i="19"/>
  <c r="T40" i="19"/>
  <c r="S40" i="19"/>
  <c r="W39" i="19"/>
  <c r="V39" i="19"/>
  <c r="U39" i="19"/>
  <c r="T39" i="19"/>
  <c r="S39" i="19"/>
  <c r="W38" i="19"/>
  <c r="V38" i="19"/>
  <c r="U38" i="19"/>
  <c r="T38" i="19"/>
  <c r="S38" i="19"/>
  <c r="W37" i="19"/>
  <c r="V37" i="19"/>
  <c r="U37" i="19"/>
  <c r="T37" i="19"/>
  <c r="S37" i="19"/>
  <c r="W36" i="19"/>
  <c r="V36" i="19"/>
  <c r="U36" i="19"/>
  <c r="T36" i="19"/>
  <c r="S36" i="19"/>
  <c r="W35" i="19"/>
  <c r="V35" i="19"/>
  <c r="U35" i="19"/>
  <c r="T35" i="19"/>
  <c r="S35" i="19"/>
  <c r="W34" i="19"/>
  <c r="V34" i="19"/>
  <c r="U34" i="19"/>
  <c r="T34" i="19"/>
  <c r="S34" i="19"/>
  <c r="W33" i="19"/>
  <c r="V33" i="19"/>
  <c r="U33" i="19"/>
  <c r="T33" i="19"/>
  <c r="S33" i="19"/>
  <c r="W32" i="19"/>
  <c r="V32" i="19"/>
  <c r="U32" i="19"/>
  <c r="T32" i="19"/>
  <c r="S32" i="19"/>
  <c r="W31" i="19"/>
  <c r="V31" i="19"/>
  <c r="U31" i="19"/>
  <c r="T31" i="19"/>
  <c r="S31" i="19"/>
  <c r="W30" i="19"/>
  <c r="V30" i="19"/>
  <c r="U30" i="19"/>
  <c r="T30" i="19"/>
  <c r="S30" i="19"/>
  <c r="W29" i="19"/>
  <c r="V29" i="19"/>
  <c r="U29" i="19"/>
  <c r="T29" i="19"/>
  <c r="S29" i="19"/>
  <c r="W28" i="19"/>
  <c r="V28" i="19"/>
  <c r="U28" i="19"/>
  <c r="T28" i="19"/>
  <c r="S28" i="19"/>
  <c r="W27" i="19"/>
  <c r="V27" i="19"/>
  <c r="U27" i="19"/>
  <c r="T27" i="19"/>
  <c r="S27" i="19"/>
  <c r="W26" i="19"/>
  <c r="V26" i="19"/>
  <c r="U26" i="19"/>
  <c r="T26" i="19"/>
  <c r="S26" i="19"/>
  <c r="W25" i="19"/>
  <c r="V25" i="19"/>
  <c r="U25" i="19"/>
  <c r="T25" i="19"/>
  <c r="S25" i="19"/>
  <c r="W24" i="19"/>
  <c r="V24" i="19"/>
  <c r="U24" i="19"/>
  <c r="T24" i="19"/>
  <c r="S24" i="19"/>
  <c r="W23" i="19"/>
  <c r="V23" i="19"/>
  <c r="U23" i="19"/>
  <c r="T23" i="19"/>
  <c r="S23" i="19"/>
  <c r="W22" i="19"/>
  <c r="V22" i="19"/>
  <c r="U22" i="19"/>
  <c r="T22" i="19"/>
  <c r="S22" i="19"/>
  <c r="W20" i="19"/>
  <c r="V20" i="19"/>
  <c r="U20" i="19"/>
  <c r="T20" i="19"/>
  <c r="S20" i="19"/>
  <c r="W19" i="19"/>
  <c r="V19" i="19"/>
  <c r="U19" i="19"/>
  <c r="T19" i="19"/>
  <c r="S19" i="19"/>
  <c r="W18" i="19"/>
  <c r="V18" i="19"/>
  <c r="U18" i="19"/>
  <c r="T18" i="19"/>
  <c r="S18" i="19"/>
  <c r="W17" i="19"/>
  <c r="V17" i="19"/>
  <c r="U17" i="19"/>
  <c r="T17" i="19"/>
  <c r="S17" i="19"/>
  <c r="W16" i="19"/>
  <c r="V16" i="19"/>
  <c r="U16" i="19"/>
  <c r="T16" i="19"/>
  <c r="S16" i="19"/>
  <c r="W14" i="19"/>
  <c r="V14" i="19"/>
  <c r="U14" i="19"/>
  <c r="T14" i="19"/>
  <c r="S14" i="19"/>
  <c r="W13" i="19"/>
  <c r="V13" i="19"/>
  <c r="U13" i="19"/>
  <c r="T13" i="19"/>
  <c r="S13" i="19"/>
  <c r="W12" i="19"/>
  <c r="V12" i="19"/>
  <c r="U12" i="19"/>
  <c r="T12" i="19"/>
  <c r="S12" i="19"/>
  <c r="W11" i="19"/>
  <c r="V11" i="19"/>
  <c r="U11" i="19"/>
  <c r="T11" i="19"/>
  <c r="S11" i="19"/>
  <c r="W10" i="19"/>
  <c r="V10" i="19"/>
  <c r="U10" i="19"/>
  <c r="T10" i="19"/>
  <c r="S10" i="19"/>
  <c r="W9" i="19"/>
  <c r="V9" i="19"/>
  <c r="U9" i="19"/>
  <c r="T9" i="19"/>
  <c r="S9" i="19"/>
  <c r="W8" i="19"/>
  <c r="V8" i="19"/>
  <c r="U8" i="19"/>
  <c r="T8" i="19"/>
  <c r="S8" i="19"/>
  <c r="W7" i="19"/>
  <c r="V7" i="19"/>
  <c r="U7" i="19"/>
  <c r="T7" i="19"/>
  <c r="S7" i="19"/>
  <c r="W6" i="19"/>
  <c r="V6" i="19"/>
  <c r="U6" i="19"/>
  <c r="T6" i="19"/>
  <c r="S6" i="19"/>
  <c r="T5" i="19"/>
  <c r="U5" i="19"/>
  <c r="V5" i="19"/>
  <c r="W5" i="19"/>
  <c r="S5" i="19"/>
  <c r="S124" i="19" l="1"/>
  <c r="P3" i="62" l="1"/>
  <c r="D19" i="62"/>
  <c r="D28" i="62"/>
  <c r="D22" i="62"/>
  <c r="D23" i="62"/>
  <c r="D25" i="62"/>
  <c r="D10" i="62"/>
  <c r="D14" i="62"/>
  <c r="D11" i="62"/>
  <c r="D16" i="62"/>
  <c r="D12" i="62"/>
  <c r="D17" i="62"/>
  <c r="D21" i="62"/>
  <c r="D20" i="62"/>
  <c r="D13" i="62"/>
  <c r="D29" i="62"/>
  <c r="D24" i="62"/>
  <c r="D15" i="62"/>
  <c r="D27" i="62"/>
  <c r="D18" i="62"/>
  <c r="D26" i="62"/>
  <c r="H28" i="62" l="1"/>
  <c r="G28" i="62"/>
  <c r="CC30" i="62"/>
  <c r="C28" i="62"/>
  <c r="AL39" i="43" l="1"/>
  <c r="C27" i="62"/>
  <c r="C17" i="62"/>
  <c r="C15" i="62"/>
  <c r="C16" i="62"/>
  <c r="C14" i="62"/>
  <c r="C18" i="62"/>
  <c r="C23" i="62"/>
  <c r="C25" i="62"/>
  <c r="C22" i="62"/>
  <c r="C21" i="62"/>
  <c r="C24" i="62"/>
  <c r="C29" i="62"/>
  <c r="C19" i="62"/>
  <c r="C26" i="62"/>
  <c r="C20" i="62"/>
  <c r="X4" i="33" l="1"/>
  <c r="C11" i="62"/>
  <c r="C13" i="62"/>
  <c r="C12" i="62"/>
  <c r="B16" i="92" l="1"/>
  <c r="B15" i="92"/>
  <c r="Z7" i="33" l="1"/>
  <c r="B20" i="92"/>
  <c r="B19" i="92"/>
  <c r="B12" i="92"/>
  <c r="B11" i="92"/>
  <c r="B10" i="92"/>
  <c r="B9" i="92"/>
  <c r="B3" i="92"/>
  <c r="B4" i="92"/>
  <c r="B5" i="92"/>
  <c r="B2" i="92"/>
  <c r="Z3" i="66" l="1"/>
  <c r="D45" i="94"/>
  <c r="F48" i="94"/>
  <c r="F47" i="94"/>
  <c r="F46" i="94"/>
  <c r="F45" i="94"/>
  <c r="D48" i="94"/>
  <c r="D47" i="94"/>
  <c r="D46" i="94"/>
  <c r="E48" i="94"/>
  <c r="E47" i="94"/>
  <c r="C47" i="94"/>
  <c r="E46" i="94"/>
  <c r="E45" i="94"/>
  <c r="C48" i="94"/>
  <c r="C46" i="94"/>
  <c r="C45" i="94"/>
  <c r="D34" i="94"/>
  <c r="D35" i="94"/>
  <c r="D36" i="94"/>
  <c r="D37" i="94"/>
  <c r="D38" i="94"/>
  <c r="D39" i="94"/>
  <c r="D33" i="94"/>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C34" i="94"/>
  <c r="X10" i="66" s="1"/>
  <c r="C35" i="94"/>
  <c r="X13" i="66" s="1"/>
  <c r="C36" i="94"/>
  <c r="C37" i="94"/>
  <c r="X19" i="66" s="1"/>
  <c r="C38" i="94"/>
  <c r="X7" i="66" s="1"/>
  <c r="C39" i="94"/>
  <c r="X20" i="66" s="1"/>
  <c r="C33" i="94"/>
  <c r="X6" i="66"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Z4" i="66" s="1"/>
  <c r="D16" i="94"/>
  <c r="D17" i="94"/>
  <c r="D18" i="94"/>
  <c r="D19" i="94"/>
  <c r="D20" i="94"/>
  <c r="D21" i="94"/>
  <c r="D22" i="94"/>
  <c r="D23" i="94"/>
  <c r="D24" i="94"/>
  <c r="D25" i="94"/>
  <c r="D26" i="94"/>
  <c r="D27" i="94"/>
  <c r="D28" i="94"/>
  <c r="D29" i="94"/>
  <c r="D30" i="94"/>
  <c r="D15" i="94"/>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6" i="94"/>
  <c r="X4" i="66" s="1"/>
  <c r="C15" i="94"/>
  <c r="X3" i="66" s="1"/>
  <c r="AN69" i="94"/>
  <c r="AM69" i="94"/>
  <c r="AL69" i="94"/>
  <c r="AK69" i="94"/>
  <c r="AJ69" i="94"/>
  <c r="AN68" i="94"/>
  <c r="AM68" i="94"/>
  <c r="AL68" i="94"/>
  <c r="AK68" i="94"/>
  <c r="AJ68" i="94"/>
  <c r="AN67" i="94"/>
  <c r="AM67" i="94"/>
  <c r="AL67" i="94"/>
  <c r="AK67" i="94"/>
  <c r="AJ67" i="94"/>
  <c r="AN66" i="94"/>
  <c r="AM66" i="94"/>
  <c r="AL66" i="94"/>
  <c r="AK66" i="94"/>
  <c r="AJ66" i="94"/>
  <c r="AN65" i="94"/>
  <c r="AM65" i="94"/>
  <c r="AL65" i="94"/>
  <c r="AK65" i="94"/>
  <c r="AJ65" i="94"/>
  <c r="AN64" i="94"/>
  <c r="AM64" i="94"/>
  <c r="AL64" i="94"/>
  <c r="AK64" i="94"/>
  <c r="AJ64" i="94"/>
  <c r="AN63" i="94"/>
  <c r="AM63" i="94"/>
  <c r="AL63" i="94"/>
  <c r="AK63" i="94"/>
  <c r="AJ63" i="94"/>
  <c r="AN62" i="94"/>
  <c r="AM62" i="94"/>
  <c r="AL62" i="94"/>
  <c r="AK62" i="94"/>
  <c r="AJ62" i="94"/>
  <c r="AN61" i="94"/>
  <c r="AM61" i="94"/>
  <c r="AL61" i="94"/>
  <c r="AK61" i="94"/>
  <c r="AJ61" i="94"/>
  <c r="AN60" i="94"/>
  <c r="AM60" i="94"/>
  <c r="AL60" i="94"/>
  <c r="AK60" i="94"/>
  <c r="AJ60" i="94"/>
  <c r="AN59" i="94"/>
  <c r="AM59" i="94"/>
  <c r="AL59" i="94"/>
  <c r="AK59" i="94"/>
  <c r="AJ59" i="94"/>
  <c r="AN58" i="94"/>
  <c r="AM58" i="94"/>
  <c r="AL58" i="94"/>
  <c r="AK58" i="94"/>
  <c r="AJ58" i="94"/>
  <c r="AN57" i="94"/>
  <c r="AM57" i="94"/>
  <c r="AL57" i="94"/>
  <c r="AK57" i="94"/>
  <c r="AJ57" i="94"/>
  <c r="AN56" i="94"/>
  <c r="AM56" i="94"/>
  <c r="AL56" i="94"/>
  <c r="AK56" i="94"/>
  <c r="AJ56" i="94"/>
  <c r="AN55" i="94"/>
  <c r="AM55" i="94"/>
  <c r="AL55" i="94"/>
  <c r="AK55" i="94"/>
  <c r="AJ55" i="94"/>
  <c r="AN54" i="94"/>
  <c r="AM54" i="94"/>
  <c r="AL54" i="94"/>
  <c r="AK54" i="94"/>
  <c r="AJ54" i="94"/>
  <c r="AN53" i="94"/>
  <c r="AM53" i="94"/>
  <c r="AL53" i="94"/>
  <c r="AK53" i="94"/>
  <c r="AJ53" i="94"/>
  <c r="AN52" i="94"/>
  <c r="AM52" i="94"/>
  <c r="AL52" i="94"/>
  <c r="AK52" i="94"/>
  <c r="AJ52" i="94"/>
  <c r="AN51" i="94"/>
  <c r="AM51" i="94"/>
  <c r="AL51" i="94"/>
  <c r="AK51" i="94"/>
  <c r="AJ51" i="94"/>
  <c r="AN50" i="94"/>
  <c r="AM50" i="94"/>
  <c r="AL50" i="94"/>
  <c r="AK50" i="94"/>
  <c r="AJ50" i="94"/>
  <c r="AN49" i="94"/>
  <c r="AM49" i="94"/>
  <c r="AL49" i="94"/>
  <c r="AK49" i="94"/>
  <c r="AJ49" i="94"/>
  <c r="AN47" i="94"/>
  <c r="AM47" i="94"/>
  <c r="AL47" i="94"/>
  <c r="AK47" i="94"/>
  <c r="AJ47" i="94"/>
  <c r="AN46" i="94"/>
  <c r="AM46" i="94"/>
  <c r="AL46" i="94"/>
  <c r="AK46" i="94"/>
  <c r="AJ46" i="94"/>
  <c r="AO45" i="94"/>
  <c r="AO42" i="94"/>
  <c r="AM39" i="94"/>
  <c r="AL39" i="94"/>
  <c r="AK39" i="94"/>
  <c r="AJ39" i="94"/>
  <c r="AM37" i="94"/>
  <c r="AL37" i="94"/>
  <c r="AK37" i="94"/>
  <c r="AJ37" i="94"/>
  <c r="AM36" i="94"/>
  <c r="AL36" i="94"/>
  <c r="AK36" i="94"/>
  <c r="AJ36" i="94"/>
  <c r="AM35" i="94"/>
  <c r="AL35" i="94"/>
  <c r="AK35" i="94"/>
  <c r="AJ35" i="94"/>
  <c r="AM34" i="94"/>
  <c r="AL34" i="94"/>
  <c r="AK34" i="94"/>
  <c r="AJ34" i="94"/>
  <c r="AM33" i="94"/>
  <c r="AL33" i="94"/>
  <c r="AK33" i="94"/>
  <c r="AJ33" i="94"/>
  <c r="AM32" i="94"/>
  <c r="AL32" i="94"/>
  <c r="AK32" i="94"/>
  <c r="AJ32" i="94"/>
  <c r="AM31" i="94"/>
  <c r="AL31" i="94"/>
  <c r="AK31" i="94"/>
  <c r="AJ31" i="94"/>
  <c r="AM30" i="94"/>
  <c r="AL30" i="94"/>
  <c r="AK30" i="94"/>
  <c r="AJ30" i="94"/>
  <c r="AM29" i="94"/>
  <c r="AL29" i="94"/>
  <c r="AK29" i="94"/>
  <c r="AJ29" i="94"/>
  <c r="AM28" i="94"/>
  <c r="AL28" i="94"/>
  <c r="AK28" i="94"/>
  <c r="AJ28" i="94"/>
  <c r="AM27" i="94"/>
  <c r="AL27" i="94"/>
  <c r="AK27" i="94"/>
  <c r="AJ27" i="94"/>
  <c r="AM26" i="94"/>
  <c r="AL26" i="94"/>
  <c r="AK26" i="94"/>
  <c r="AJ26" i="94"/>
  <c r="AM25" i="94"/>
  <c r="AL25" i="94"/>
  <c r="AK25" i="94"/>
  <c r="AJ25" i="94"/>
  <c r="AM24" i="94"/>
  <c r="AL24" i="94"/>
  <c r="AK24" i="94"/>
  <c r="AJ24" i="94"/>
  <c r="AM23" i="94"/>
  <c r="AL23" i="94"/>
  <c r="AK23" i="94"/>
  <c r="AJ23" i="94"/>
  <c r="AM22" i="94"/>
  <c r="AL22" i="94"/>
  <c r="AK22" i="94"/>
  <c r="AJ22" i="94"/>
  <c r="AM21" i="94"/>
  <c r="AL21" i="94"/>
  <c r="AK21" i="94"/>
  <c r="AJ21" i="94"/>
  <c r="AM20" i="94"/>
  <c r="AL20" i="94"/>
  <c r="AK20" i="94"/>
  <c r="AJ20" i="94"/>
  <c r="AM19" i="94"/>
  <c r="AL19" i="94"/>
  <c r="AK19" i="94"/>
  <c r="AJ19" i="94"/>
  <c r="T19" i="94"/>
  <c r="AM18" i="94"/>
  <c r="AL18" i="94"/>
  <c r="AK18" i="94"/>
  <c r="AJ18" i="94"/>
  <c r="AM17" i="94"/>
  <c r="AL17" i="94"/>
  <c r="AK17" i="94"/>
  <c r="AJ17" i="94"/>
  <c r="AM16" i="94"/>
  <c r="AL16" i="94"/>
  <c r="AK16" i="94"/>
  <c r="AJ16" i="94"/>
  <c r="AM15" i="94"/>
  <c r="AL15" i="94"/>
  <c r="AK15" i="94"/>
  <c r="AJ15" i="94"/>
  <c r="AM14" i="94"/>
  <c r="AL14" i="94"/>
  <c r="AK14" i="94"/>
  <c r="AJ14" i="94"/>
  <c r="AM13" i="94"/>
  <c r="AL13" i="94"/>
  <c r="AK13" i="94"/>
  <c r="AJ13" i="94"/>
  <c r="AM12" i="94"/>
  <c r="AL12" i="94"/>
  <c r="AK12" i="94"/>
  <c r="AJ12" i="94"/>
  <c r="AM11" i="94"/>
  <c r="AL11" i="94"/>
  <c r="AK11" i="94"/>
  <c r="AJ11" i="94"/>
  <c r="AM10" i="94"/>
  <c r="AL10" i="94"/>
  <c r="AK10" i="94"/>
  <c r="AJ10" i="94"/>
  <c r="AM9" i="94"/>
  <c r="AL9" i="94"/>
  <c r="AK9" i="94"/>
  <c r="AJ9" i="94"/>
  <c r="AM8" i="94"/>
  <c r="AL8" i="94"/>
  <c r="AK8" i="94"/>
  <c r="AJ8" i="94"/>
  <c r="AM7" i="94"/>
  <c r="AL7" i="94"/>
  <c r="AK7" i="94"/>
  <c r="AJ7" i="94"/>
  <c r="Y6" i="66" l="1"/>
  <c r="AI6" i="66"/>
  <c r="AI17" i="66"/>
  <c r="Y17" i="66"/>
  <c r="Y18" i="66"/>
  <c r="AI18" i="66"/>
  <c r="AI5" i="66"/>
  <c r="Y5" i="66"/>
  <c r="AI23" i="66"/>
  <c r="Y23" i="66"/>
  <c r="AI11" i="66"/>
  <c r="Y11" i="66"/>
  <c r="AI20" i="66"/>
  <c r="Y20" i="66"/>
  <c r="AI3" i="66"/>
  <c r="Y3" i="66"/>
  <c r="Y22" i="66"/>
  <c r="AI22" i="66"/>
  <c r="AI15" i="66"/>
  <c r="Y15" i="66"/>
  <c r="AI9" i="66"/>
  <c r="Y9" i="66"/>
  <c r="AI7" i="66"/>
  <c r="Y7" i="66"/>
  <c r="Y10" i="66"/>
  <c r="AI10" i="66"/>
  <c r="AI24" i="66"/>
  <c r="Y24" i="66"/>
  <c r="AI12" i="66"/>
  <c r="Y12" i="66"/>
  <c r="AI16" i="66"/>
  <c r="Y16" i="66"/>
  <c r="AI4" i="66"/>
  <c r="Y4" i="66"/>
  <c r="AI13" i="66"/>
  <c r="Y13" i="66"/>
  <c r="AI25" i="66"/>
  <c r="Y25" i="66"/>
  <c r="AI21" i="66"/>
  <c r="Y21" i="66"/>
  <c r="Y14" i="66"/>
  <c r="AI14" i="66"/>
  <c r="AI8" i="66"/>
  <c r="Y8" i="66"/>
  <c r="AI19" i="66"/>
  <c r="Y19" i="66"/>
  <c r="H48" i="94"/>
  <c r="C49" i="94"/>
  <c r="H46" i="94"/>
  <c r="AK40" i="94"/>
  <c r="AM40" i="94"/>
  <c r="AL40" i="94"/>
  <c r="C40" i="94"/>
  <c r="E49" i="94"/>
  <c r="G48" i="94"/>
  <c r="F49" i="94"/>
  <c r="X17" i="66"/>
  <c r="G46" i="94"/>
  <c r="G47" i="94"/>
  <c r="H47" i="94"/>
  <c r="AL70" i="94"/>
  <c r="AO49" i="94"/>
  <c r="AO53" i="94"/>
  <c r="AO57" i="94"/>
  <c r="AO61" i="94"/>
  <c r="AO65" i="94"/>
  <c r="AO69" i="94"/>
  <c r="G45" i="94"/>
  <c r="H45" i="94"/>
  <c r="AM70" i="94"/>
  <c r="AO50" i="94"/>
  <c r="AO54" i="94"/>
  <c r="AO58" i="94"/>
  <c r="AO62" i="94"/>
  <c r="AO66" i="94"/>
  <c r="AJ70" i="94"/>
  <c r="AN70" i="94"/>
  <c r="AO51" i="94"/>
  <c r="AO55" i="94"/>
  <c r="AO59" i="94"/>
  <c r="AO63" i="94"/>
  <c r="AO67" i="94"/>
  <c r="AJ40" i="94"/>
  <c r="AK70" i="94"/>
  <c r="AO47" i="94"/>
  <c r="AO52" i="94"/>
  <c r="AO56" i="94"/>
  <c r="AO60" i="94"/>
  <c r="AO64" i="94"/>
  <c r="AO68" i="94"/>
  <c r="AO46" i="94"/>
  <c r="D49" i="94"/>
  <c r="E40" i="94"/>
  <c r="D40" i="94"/>
  <c r="E31" i="94"/>
  <c r="D31" i="94"/>
  <c r="C31" i="94"/>
  <c r="C41" i="94" s="1"/>
  <c r="G49" i="94" l="1"/>
  <c r="Y26" i="66"/>
  <c r="H49" i="94"/>
  <c r="I45" i="94" s="1"/>
  <c r="AN30" i="94"/>
  <c r="AO70" i="94"/>
  <c r="D41" i="94"/>
  <c r="E41" i="94"/>
  <c r="I48" i="94" l="1"/>
  <c r="I49" i="94"/>
  <c r="I50" i="94"/>
  <c r="I47" i="94"/>
  <c r="I46" i="94"/>
  <c r="E7" i="92"/>
  <c r="E6" i="92"/>
  <c r="E5" i="92"/>
  <c r="E3" i="92"/>
  <c r="E4" i="92"/>
  <c r="AA44" i="20"/>
  <c r="AA45" i="20"/>
  <c r="AA46" i="20"/>
  <c r="AA47" i="20"/>
  <c r="AB44" i="20"/>
  <c r="AB45" i="20"/>
  <c r="AB46" i="20"/>
  <c r="AB47" i="20"/>
  <c r="AC44" i="20"/>
  <c r="AC45" i="20"/>
  <c r="AC46" i="20"/>
  <c r="AC47" i="20"/>
  <c r="AD44" i="20"/>
  <c r="AD45" i="20"/>
  <c r="AD46" i="20"/>
  <c r="AD47" i="20"/>
  <c r="AE44" i="20"/>
  <c r="AE45" i="20"/>
  <c r="AE46" i="20"/>
  <c r="AE47" i="20"/>
  <c r="AF44" i="20"/>
  <c r="AF45" i="20"/>
  <c r="AF46" i="20"/>
  <c r="AF47" i="20"/>
  <c r="AG44" i="20"/>
  <c r="AG45" i="20"/>
  <c r="AG46" i="20"/>
  <c r="AG47" i="20"/>
  <c r="AH44" i="20"/>
  <c r="AH45" i="20"/>
  <c r="AH46" i="20"/>
  <c r="AH47" i="20"/>
  <c r="AI44" i="20"/>
  <c r="AI45" i="20"/>
  <c r="AI46" i="20"/>
  <c r="AI47" i="20"/>
  <c r="AJ44" i="20"/>
  <c r="AJ45" i="20"/>
  <c r="AJ46" i="20"/>
  <c r="AJ47" i="20"/>
  <c r="AK44" i="20"/>
  <c r="AK45" i="20"/>
  <c r="AK46" i="20"/>
  <c r="AK47" i="20"/>
  <c r="AL44" i="20"/>
  <c r="AL45" i="20"/>
  <c r="AL46" i="20"/>
  <c r="AL47" i="20"/>
  <c r="AM44" i="20"/>
  <c r="AM45" i="20"/>
  <c r="AM46" i="20"/>
  <c r="AM47" i="20"/>
  <c r="AN44" i="20"/>
  <c r="AN45" i="20"/>
  <c r="AN46" i="20"/>
  <c r="AN47" i="20"/>
  <c r="AO44" i="20"/>
  <c r="AO45" i="20"/>
  <c r="AO46" i="20"/>
  <c r="AO47" i="20"/>
  <c r="AP44" i="20"/>
  <c r="AP45" i="20"/>
  <c r="AP46" i="20"/>
  <c r="AP47" i="20"/>
  <c r="AQ44" i="20"/>
  <c r="AQ45" i="20"/>
  <c r="AQ46" i="20"/>
  <c r="AQ47" i="20"/>
  <c r="AR44" i="20"/>
  <c r="AR45" i="20"/>
  <c r="AR46" i="20"/>
  <c r="AR47" i="20"/>
  <c r="AA25" i="20" l="1"/>
  <c r="AB25" i="20"/>
  <c r="AC25" i="20"/>
  <c r="AD25" i="20"/>
  <c r="AE25" i="20"/>
  <c r="AF25" i="20"/>
  <c r="AG25" i="20"/>
  <c r="AH25" i="20"/>
  <c r="AI25" i="20"/>
  <c r="AJ25" i="20"/>
  <c r="AK25" i="20"/>
  <c r="AL25" i="20"/>
  <c r="AM25" i="20"/>
  <c r="AN25" i="20"/>
  <c r="AO25" i="20"/>
  <c r="AP25" i="20"/>
  <c r="AQ25" i="20"/>
  <c r="AR25" i="20"/>
  <c r="AA26" i="20"/>
  <c r="AB26" i="20"/>
  <c r="AC26" i="20"/>
  <c r="AD26" i="20"/>
  <c r="AE26" i="20"/>
  <c r="AF26" i="20"/>
  <c r="AG26" i="20"/>
  <c r="AH26" i="20"/>
  <c r="AI26" i="20"/>
  <c r="AJ26" i="20"/>
  <c r="AK26" i="20"/>
  <c r="AL26" i="20"/>
  <c r="AM26" i="20"/>
  <c r="AN26" i="20"/>
  <c r="AO26" i="20"/>
  <c r="AP26" i="20"/>
  <c r="AQ26" i="20"/>
  <c r="AR26" i="20"/>
  <c r="AA27" i="20"/>
  <c r="AB27" i="20"/>
  <c r="AC27" i="20"/>
  <c r="AD27" i="20"/>
  <c r="AE27" i="20"/>
  <c r="AF27" i="20"/>
  <c r="AG27" i="20"/>
  <c r="AH27" i="20"/>
  <c r="AI27" i="20"/>
  <c r="AJ27" i="20"/>
  <c r="AK27" i="20"/>
  <c r="AL27" i="20"/>
  <c r="AM27" i="20"/>
  <c r="AN27" i="20"/>
  <c r="AO27" i="20"/>
  <c r="AP27" i="20"/>
  <c r="AQ27" i="20"/>
  <c r="AR27" i="20"/>
  <c r="AA28" i="20"/>
  <c r="AB28" i="20"/>
  <c r="AC28" i="20"/>
  <c r="AD28" i="20"/>
  <c r="AE28" i="20"/>
  <c r="AF28" i="20"/>
  <c r="AG28" i="20"/>
  <c r="AH28" i="20"/>
  <c r="AI28" i="20"/>
  <c r="AJ28" i="20"/>
  <c r="AK28" i="20"/>
  <c r="AL28" i="20"/>
  <c r="AM28" i="20"/>
  <c r="AN28" i="20"/>
  <c r="AO28" i="20"/>
  <c r="AP28" i="20"/>
  <c r="AQ28" i="20"/>
  <c r="AR28" i="20"/>
  <c r="AA29" i="20"/>
  <c r="AB29" i="20"/>
  <c r="AC29" i="20"/>
  <c r="AD29" i="20"/>
  <c r="AE29" i="20"/>
  <c r="AF29" i="20"/>
  <c r="AG29" i="20"/>
  <c r="AH29" i="20"/>
  <c r="AI29" i="20"/>
  <c r="AJ29" i="20"/>
  <c r="AK29" i="20"/>
  <c r="AL29" i="20"/>
  <c r="AM29" i="20"/>
  <c r="AN29" i="20"/>
  <c r="AO29" i="20"/>
  <c r="AP29" i="20"/>
  <c r="AQ29" i="20"/>
  <c r="AR29" i="20"/>
  <c r="AA30" i="20"/>
  <c r="AB30" i="20"/>
  <c r="AC30" i="20"/>
  <c r="AD30" i="20"/>
  <c r="AE30" i="20"/>
  <c r="AF30" i="20"/>
  <c r="AG30" i="20"/>
  <c r="AH30" i="20"/>
  <c r="AI30" i="20"/>
  <c r="AJ30" i="20"/>
  <c r="AK30" i="20"/>
  <c r="AL30" i="20"/>
  <c r="AM30" i="20"/>
  <c r="AN30" i="20"/>
  <c r="AO30" i="20"/>
  <c r="AP30" i="20"/>
  <c r="AQ30" i="20"/>
  <c r="AR30" i="20"/>
  <c r="B49" i="92"/>
  <c r="B48" i="92"/>
  <c r="B47" i="92"/>
  <c r="B46" i="92"/>
  <c r="B45" i="92"/>
  <c r="B44" i="92"/>
  <c r="B43" i="92"/>
  <c r="T217" i="14"/>
  <c r="AE217" i="14"/>
  <c r="AF217" i="14"/>
  <c r="AG217" i="14" s="1"/>
  <c r="T218" i="14"/>
  <c r="AE218" i="14"/>
  <c r="AF218" i="14"/>
  <c r="AG218" i="14" s="1"/>
  <c r="T219" i="14"/>
  <c r="AE219" i="14"/>
  <c r="AF219" i="14"/>
  <c r="AG219" i="14" s="1"/>
  <c r="T220" i="14"/>
  <c r="AE220" i="14"/>
  <c r="AF220" i="14"/>
  <c r="AG220" i="14" s="1"/>
  <c r="B40" i="92"/>
  <c r="B39" i="92"/>
  <c r="B38" i="92"/>
  <c r="B37" i="92"/>
  <c r="B36" i="92"/>
  <c r="B35" i="92"/>
  <c r="B34" i="92"/>
  <c r="B33" i="92"/>
  <c r="B32" i="92"/>
  <c r="B31" i="92"/>
  <c r="B30" i="92"/>
  <c r="B29" i="92"/>
  <c r="B28" i="92"/>
  <c r="B27" i="92"/>
  <c r="B26" i="92"/>
  <c r="B25" i="92"/>
  <c r="B50" i="92" l="1"/>
  <c r="B41" i="92"/>
  <c r="AA39" i="20"/>
  <c r="AB39" i="20"/>
  <c r="AC39" i="20"/>
  <c r="AD39" i="20"/>
  <c r="AE39" i="20"/>
  <c r="AF39" i="20"/>
  <c r="AG39" i="20"/>
  <c r="AH39" i="20"/>
  <c r="AI39" i="20"/>
  <c r="AJ39" i="20"/>
  <c r="AK39" i="20"/>
  <c r="AL39" i="20"/>
  <c r="AM39" i="20"/>
  <c r="AN39" i="20"/>
  <c r="AO39" i="20"/>
  <c r="AP39" i="20"/>
  <c r="AQ39" i="20"/>
  <c r="AR39" i="20"/>
  <c r="AA41" i="20"/>
  <c r="AB41" i="20"/>
  <c r="AC41" i="20"/>
  <c r="AD41" i="20"/>
  <c r="AE41" i="20"/>
  <c r="AF41" i="20"/>
  <c r="AG41" i="20"/>
  <c r="AH41" i="20"/>
  <c r="AI41" i="20"/>
  <c r="AJ41" i="20"/>
  <c r="AK41" i="20"/>
  <c r="AL41" i="20"/>
  <c r="AM41" i="20"/>
  <c r="AN41" i="20"/>
  <c r="AO41" i="20"/>
  <c r="AP41" i="20"/>
  <c r="AQ41" i="20"/>
  <c r="AR41" i="20"/>
  <c r="B51" i="92" l="1"/>
  <c r="W2" i="43"/>
  <c r="W3" i="43"/>
  <c r="Z10" i="43" l="1"/>
  <c r="AA10" i="43" s="1"/>
  <c r="AB10" i="43"/>
  <c r="AC10" i="43" l="1"/>
  <c r="AD10" i="43"/>
  <c r="AE10" i="43" s="1"/>
  <c r="Z11" i="43" l="1"/>
  <c r="AA11" i="43" s="1"/>
  <c r="AB11" i="43"/>
  <c r="AC11" i="43" l="1"/>
  <c r="AD11" i="43"/>
  <c r="AE11" i="43" s="1"/>
  <c r="Z12" i="43" l="1"/>
  <c r="AA12" i="43" s="1"/>
  <c r="AB12" i="43"/>
  <c r="AC12" i="43" l="1"/>
  <c r="AD12" i="43"/>
  <c r="AE12" i="43" s="1"/>
  <c r="Z13" i="43" l="1"/>
  <c r="AA13" i="43" s="1"/>
  <c r="AB13" i="43"/>
  <c r="AC13" i="43" l="1"/>
  <c r="AD13" i="43"/>
  <c r="AE13" i="43" s="1"/>
  <c r="Z14" i="43" l="1"/>
  <c r="AA14" i="43" s="1"/>
  <c r="AB14" i="43"/>
  <c r="AC14" i="43" l="1"/>
  <c r="AD14" i="43"/>
  <c r="AE14" i="43" s="1"/>
  <c r="Z15" i="43" l="1"/>
  <c r="AA15" i="43" s="1"/>
  <c r="AB15" i="43"/>
  <c r="AC15" i="43" l="1"/>
  <c r="AD15" i="43"/>
  <c r="AE15" i="43" s="1"/>
  <c r="Z16" i="43" l="1"/>
  <c r="AA16" i="43" s="1"/>
  <c r="AB16" i="43"/>
  <c r="AC16" i="43" l="1"/>
  <c r="AD16" i="43"/>
  <c r="AE16" i="43" s="1"/>
  <c r="Z17" i="43"/>
  <c r="AA17" i="43" s="1"/>
  <c r="Z18" i="43"/>
  <c r="AA18" i="43" s="1"/>
  <c r="Z19" i="43"/>
  <c r="AA19" i="43" s="1"/>
  <c r="AA31" i="20"/>
  <c r="AB31" i="20"/>
  <c r="AC31" i="20"/>
  <c r="AD31" i="20"/>
  <c r="AE31" i="20"/>
  <c r="AF31" i="20"/>
  <c r="AG31" i="20"/>
  <c r="AH31" i="20"/>
  <c r="AI31" i="20"/>
  <c r="AJ31" i="20"/>
  <c r="AK31" i="20"/>
  <c r="AL31" i="20"/>
  <c r="AM31" i="20"/>
  <c r="AN31" i="20"/>
  <c r="AO31" i="20"/>
  <c r="AP31" i="20"/>
  <c r="AQ31" i="20"/>
  <c r="AR31" i="20"/>
  <c r="AA32" i="20"/>
  <c r="AB32" i="20"/>
  <c r="AC32" i="20"/>
  <c r="AD32" i="20"/>
  <c r="AE32" i="20"/>
  <c r="AF32" i="20"/>
  <c r="AG32" i="20"/>
  <c r="AH32" i="20"/>
  <c r="AI32" i="20"/>
  <c r="AJ32" i="20"/>
  <c r="AK32" i="20"/>
  <c r="AL32" i="20"/>
  <c r="AM32" i="20"/>
  <c r="AN32" i="20"/>
  <c r="AO32" i="20"/>
  <c r="AP32" i="20"/>
  <c r="AQ32" i="20"/>
  <c r="AR32" i="20"/>
  <c r="AB18" i="43"/>
  <c r="AB17" i="43"/>
  <c r="AB19" i="43"/>
  <c r="AC19" i="43" l="1"/>
  <c r="AD19" i="43"/>
  <c r="AE19" i="43" s="1"/>
  <c r="AC18" i="43"/>
  <c r="AD18" i="43"/>
  <c r="AE18" i="43" s="1"/>
  <c r="AC17" i="43"/>
  <c r="AD17" i="43"/>
  <c r="AE17" i="43" s="1"/>
  <c r="N168" i="86" l="1"/>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R99" i="20"/>
  <c r="AN99" i="20"/>
  <c r="AC99" i="20"/>
  <c r="AR98" i="20"/>
  <c r="AR97" i="20"/>
  <c r="AR96" i="20"/>
  <c r="AN96" i="20"/>
  <c r="AC96" i="20"/>
  <c r="AK96" i="20"/>
  <c r="AR95" i="20"/>
  <c r="AN95" i="20"/>
  <c r="AF95" i="20"/>
  <c r="AR94" i="20"/>
  <c r="AN94" i="20"/>
  <c r="AM94" i="20"/>
  <c r="AR93" i="20"/>
  <c r="AN93" i="20"/>
  <c r="AE93" i="20"/>
  <c r="AR92" i="20"/>
  <c r="AN92" i="20"/>
  <c r="AI92" i="20"/>
  <c r="AM92" i="20"/>
  <c r="AR91" i="20"/>
  <c r="AN91" i="20"/>
  <c r="AR90" i="20"/>
  <c r="AN90" i="20"/>
  <c r="AD90" i="20"/>
  <c r="AH90" i="20"/>
  <c r="AR89" i="20"/>
  <c r="AQ89" i="20"/>
  <c r="AN89" i="20"/>
  <c r="AJ89" i="20"/>
  <c r="AC89" i="20"/>
  <c r="AA89" i="20"/>
  <c r="AR88" i="20"/>
  <c r="AN88" i="20"/>
  <c r="AR87" i="20"/>
  <c r="AN87" i="20"/>
  <c r="AK87" i="20"/>
  <c r="AE87" i="20"/>
  <c r="AR86" i="20"/>
  <c r="AN86" i="20"/>
  <c r="AH86" i="20"/>
  <c r="AB86" i="20"/>
  <c r="AR85" i="20"/>
  <c r="AN85" i="20"/>
  <c r="AJ85" i="20"/>
  <c r="AE85" i="20"/>
  <c r="AR84" i="20"/>
  <c r="AN84" i="20"/>
  <c r="AD84" i="20"/>
  <c r="AR83" i="20"/>
  <c r="AN83" i="20"/>
  <c r="AD83" i="20"/>
  <c r="AF83" i="20"/>
  <c r="AR82" i="20"/>
  <c r="AN82" i="20"/>
  <c r="AR81" i="20"/>
  <c r="AN81" i="20"/>
  <c r="AJ81" i="20"/>
  <c r="AB81" i="20"/>
  <c r="AR80" i="20"/>
  <c r="AN80" i="20"/>
  <c r="AH80" i="20"/>
  <c r="AB80" i="20"/>
  <c r="AR79" i="20"/>
  <c r="AN79" i="20"/>
  <c r="AL79" i="20"/>
  <c r="AJ79" i="20"/>
  <c r="AR78" i="20"/>
  <c r="AN78" i="20"/>
  <c r="AH78" i="20"/>
  <c r="AR77" i="20"/>
  <c r="AN77" i="20"/>
  <c r="AJ77" i="20"/>
  <c r="AR76" i="20"/>
  <c r="AN76" i="20"/>
  <c r="AR75" i="20"/>
  <c r="AQ75" i="20"/>
  <c r="AN75" i="20"/>
  <c r="AL75" i="20"/>
  <c r="AD75" i="20"/>
  <c r="AB75" i="20"/>
  <c r="AR74" i="20"/>
  <c r="AN74" i="20"/>
  <c r="AR73" i="20"/>
  <c r="AN73" i="20"/>
  <c r="AL73" i="20"/>
  <c r="AR72" i="20"/>
  <c r="AN72" i="20"/>
  <c r="AC72" i="20"/>
  <c r="AR71" i="20"/>
  <c r="AN71" i="20"/>
  <c r="AF71" i="20"/>
  <c r="AE71" i="20"/>
  <c r="AR70" i="20"/>
  <c r="AN70" i="20"/>
  <c r="AK70" i="20"/>
  <c r="AH70" i="20"/>
  <c r="AR69" i="20"/>
  <c r="AN69" i="20"/>
  <c r="AM69" i="20"/>
  <c r="AE69" i="20"/>
  <c r="AR68" i="20"/>
  <c r="AN68" i="20"/>
  <c r="AR67" i="20"/>
  <c r="AN67" i="20"/>
  <c r="AI67" i="20"/>
  <c r="AR66" i="20"/>
  <c r="AN66" i="20"/>
  <c r="AR65" i="20"/>
  <c r="AN65" i="20"/>
  <c r="AC65" i="20"/>
  <c r="AQ65" i="20"/>
  <c r="AR64" i="20"/>
  <c r="AP64" i="20"/>
  <c r="AN64" i="20"/>
  <c r="AI64" i="20"/>
  <c r="AE64" i="20"/>
  <c r="AJ64" i="20"/>
  <c r="AR63" i="20"/>
  <c r="AN63" i="20"/>
  <c r="AR62" i="20"/>
  <c r="AN62" i="20"/>
  <c r="AI62" i="20"/>
  <c r="AR61" i="20"/>
  <c r="AN61" i="20"/>
  <c r="AK61" i="20"/>
  <c r="AR60" i="20"/>
  <c r="AN60" i="20"/>
  <c r="AI60" i="20"/>
  <c r="AR59" i="20"/>
  <c r="AN59" i="20"/>
  <c r="AR58" i="20"/>
  <c r="AN58" i="20"/>
  <c r="AF58" i="20"/>
  <c r="AB58" i="20"/>
  <c r="AL58" i="20"/>
  <c r="AR57" i="20"/>
  <c r="AN57" i="20"/>
  <c r="AK57" i="20"/>
  <c r="AJ57" i="20"/>
  <c r="AR56" i="20"/>
  <c r="AN56" i="20"/>
  <c r="AM56" i="20"/>
  <c r="AA56" i="20"/>
  <c r="AL56" i="20"/>
  <c r="AR55" i="20"/>
  <c r="AN55" i="20"/>
  <c r="AR54" i="20"/>
  <c r="AN54" i="20"/>
  <c r="AJ54" i="20"/>
  <c r="AR53" i="20"/>
  <c r="AN53" i="20"/>
  <c r="AR52" i="20"/>
  <c r="AN52" i="20"/>
  <c r="AE52" i="20"/>
  <c r="AR51" i="20"/>
  <c r="AN51" i="20"/>
  <c r="AR50" i="20"/>
  <c r="AQ50" i="20"/>
  <c r="AN50" i="20"/>
  <c r="AL50" i="20"/>
  <c r="AI50" i="20"/>
  <c r="AR49" i="20"/>
  <c r="AN49" i="20"/>
  <c r="AH49" i="20"/>
  <c r="AR48" i="20"/>
  <c r="AN48" i="20"/>
  <c r="AP48" i="20"/>
  <c r="AR43" i="20"/>
  <c r="AN43" i="20"/>
  <c r="AK43" i="20"/>
  <c r="AR42" i="20"/>
  <c r="AP42" i="20"/>
  <c r="AN42" i="20"/>
  <c r="AJ42" i="20"/>
  <c r="AI42" i="20"/>
  <c r="AH42" i="20"/>
  <c r="AD42" i="20"/>
  <c r="AB42" i="20"/>
  <c r="AR40" i="20"/>
  <c r="AN40" i="20"/>
  <c r="AJ40" i="20"/>
  <c r="AR38" i="20"/>
  <c r="AQ38" i="20"/>
  <c r="AP38" i="20"/>
  <c r="AN38" i="20"/>
  <c r="AJ38" i="20"/>
  <c r="AI38" i="20"/>
  <c r="AD38" i="20"/>
  <c r="AA38" i="20"/>
  <c r="AL38" i="20"/>
  <c r="AR37" i="20"/>
  <c r="AN37" i="20"/>
  <c r="AF37" i="20"/>
  <c r="AC37" i="20"/>
  <c r="AR36" i="20"/>
  <c r="AN36" i="20"/>
  <c r="AL36" i="20"/>
  <c r="AR35" i="20"/>
  <c r="AN35" i="20"/>
  <c r="AJ35" i="20"/>
  <c r="AR34" i="20"/>
  <c r="AN34" i="20"/>
  <c r="AH34" i="20"/>
  <c r="AM34" i="20"/>
  <c r="AR33" i="20"/>
  <c r="AN33" i="20"/>
  <c r="AC33" i="20"/>
  <c r="AJ95" i="20"/>
  <c r="CE32" i="62"/>
  <c r="CC32" i="62"/>
  <c r="CE31" i="62"/>
  <c r="CC31" i="62"/>
  <c r="CE29" i="62"/>
  <c r="CC29" i="62"/>
  <c r="CE28" i="62"/>
  <c r="CC28" i="62"/>
  <c r="CE27" i="62"/>
  <c r="CC27" i="62"/>
  <c r="CC26" i="62"/>
  <c r="CC25" i="62"/>
  <c r="CC24" i="62"/>
  <c r="CC23" i="62"/>
  <c r="CC22" i="62"/>
  <c r="CC21" i="62"/>
  <c r="CC20" i="62"/>
  <c r="CE19" i="62"/>
  <c r="CC19" i="62"/>
  <c r="CE18" i="62"/>
  <c r="CC18" i="62"/>
  <c r="CE17" i="62"/>
  <c r="CC17" i="62"/>
  <c r="Q171" i="19"/>
  <c r="P171" i="19"/>
  <c r="O171" i="19"/>
  <c r="N171" i="19"/>
  <c r="M171" i="19"/>
  <c r="Q145" i="19"/>
  <c r="P145" i="19"/>
  <c r="O145" i="19"/>
  <c r="N145" i="19"/>
  <c r="M145" i="19"/>
  <c r="Q142" i="19"/>
  <c r="P142" i="19"/>
  <c r="O142" i="19"/>
  <c r="N142" i="19"/>
  <c r="M142" i="19"/>
  <c r="W142" i="19"/>
  <c r="V142" i="19"/>
  <c r="U142" i="19"/>
  <c r="T142" i="19"/>
  <c r="S142" i="19"/>
  <c r="Q140" i="19"/>
  <c r="P140" i="19"/>
  <c r="O140" i="19"/>
  <c r="N140" i="19"/>
  <c r="M140" i="19"/>
  <c r="W138" i="19"/>
  <c r="W140" i="19" s="1"/>
  <c r="V138" i="19"/>
  <c r="V140" i="19" s="1"/>
  <c r="U138" i="19"/>
  <c r="T138" i="19"/>
  <c r="S138" i="19"/>
  <c r="U137" i="19"/>
  <c r="T137" i="19"/>
  <c r="S137" i="19"/>
  <c r="U136" i="19"/>
  <c r="T136" i="19"/>
  <c r="S136" i="19"/>
  <c r="U135" i="19"/>
  <c r="T135" i="19"/>
  <c r="S135" i="19"/>
  <c r="U134" i="19"/>
  <c r="T134" i="19"/>
  <c r="S134" i="19"/>
  <c r="U133" i="19"/>
  <c r="T133" i="19"/>
  <c r="S133" i="19"/>
  <c r="U132" i="19"/>
  <c r="T132" i="19"/>
  <c r="S132" i="19"/>
  <c r="U131" i="19"/>
  <c r="T131" i="19"/>
  <c r="S131" i="19"/>
  <c r="Q130" i="19"/>
  <c r="P130" i="19"/>
  <c r="O130" i="19"/>
  <c r="N130" i="19"/>
  <c r="M130" i="19"/>
  <c r="W129" i="19"/>
  <c r="V129" i="19"/>
  <c r="U129" i="19"/>
  <c r="T129" i="19"/>
  <c r="S129" i="19"/>
  <c r="W128" i="19"/>
  <c r="V128" i="19"/>
  <c r="U128" i="19"/>
  <c r="T128" i="19"/>
  <c r="S128" i="19"/>
  <c r="W127" i="19"/>
  <c r="V127" i="19"/>
  <c r="U127" i="19"/>
  <c r="T127" i="19"/>
  <c r="S127" i="19"/>
  <c r="W126" i="19"/>
  <c r="V126" i="19"/>
  <c r="U126" i="19"/>
  <c r="T126" i="19"/>
  <c r="S126" i="19"/>
  <c r="W125" i="19"/>
  <c r="V125" i="19"/>
  <c r="U125" i="19"/>
  <c r="T125" i="19"/>
  <c r="S125" i="19"/>
  <c r="Q124" i="19"/>
  <c r="P124" i="19"/>
  <c r="O124" i="19"/>
  <c r="N124" i="19"/>
  <c r="M124" i="19"/>
  <c r="W99" i="19"/>
  <c r="V99" i="19"/>
  <c r="U99" i="19"/>
  <c r="T99" i="19"/>
  <c r="S99" i="19"/>
  <c r="W98" i="19"/>
  <c r="V98" i="19"/>
  <c r="U98" i="19"/>
  <c r="T98" i="19"/>
  <c r="S98" i="19"/>
  <c r="Q97" i="19"/>
  <c r="P97" i="19"/>
  <c r="O97" i="19"/>
  <c r="N97" i="19"/>
  <c r="M97" i="19"/>
  <c r="Q83" i="19"/>
  <c r="P83" i="19"/>
  <c r="O83" i="19"/>
  <c r="N83" i="19"/>
  <c r="M83" i="19"/>
  <c r="Q80" i="19"/>
  <c r="P80" i="19"/>
  <c r="O80" i="19"/>
  <c r="N80" i="19"/>
  <c r="M80" i="19"/>
  <c r="Q74" i="19"/>
  <c r="P74" i="19"/>
  <c r="O74" i="19"/>
  <c r="N74" i="19"/>
  <c r="M74" i="19"/>
  <c r="W71" i="19"/>
  <c r="W74" i="19" s="1"/>
  <c r="V71" i="19"/>
  <c r="V74" i="19" s="1"/>
  <c r="U71" i="19"/>
  <c r="U74" i="19" s="1"/>
  <c r="T71" i="19"/>
  <c r="T74" i="19" s="1"/>
  <c r="S71" i="19"/>
  <c r="S74" i="19" s="1"/>
  <c r="Q70" i="19"/>
  <c r="P70" i="19"/>
  <c r="O70" i="19"/>
  <c r="N70" i="19"/>
  <c r="Q60" i="19"/>
  <c r="P60" i="19"/>
  <c r="O60" i="19"/>
  <c r="N60" i="19"/>
  <c r="M60" i="19"/>
  <c r="W59" i="19"/>
  <c r="V59" i="19"/>
  <c r="U59" i="19"/>
  <c r="T59" i="19"/>
  <c r="S59" i="19"/>
  <c r="W58" i="19"/>
  <c r="V58" i="19"/>
  <c r="U58" i="19"/>
  <c r="T58" i="19"/>
  <c r="S58" i="19"/>
  <c r="W57" i="19"/>
  <c r="V57" i="19"/>
  <c r="U57" i="19"/>
  <c r="T57" i="19"/>
  <c r="S57" i="19"/>
  <c r="W56" i="19"/>
  <c r="V56" i="19"/>
  <c r="U56" i="19"/>
  <c r="T56" i="19"/>
  <c r="S56" i="19"/>
  <c r="T55" i="19"/>
  <c r="S55" i="19"/>
  <c r="W54" i="19"/>
  <c r="V54" i="19"/>
  <c r="U54" i="19"/>
  <c r="T54" i="19"/>
  <c r="S54" i="19"/>
  <c r="W53" i="19"/>
  <c r="V53" i="19"/>
  <c r="U53" i="19"/>
  <c r="T53" i="19"/>
  <c r="S53" i="19"/>
  <c r="W52" i="19"/>
  <c r="V52" i="19"/>
  <c r="U52" i="19"/>
  <c r="T52" i="19"/>
  <c r="S52" i="19"/>
  <c r="W50" i="19"/>
  <c r="V50" i="19"/>
  <c r="U50" i="19"/>
  <c r="T50" i="19"/>
  <c r="S50" i="19"/>
  <c r="W49" i="19"/>
  <c r="V49" i="19"/>
  <c r="U49" i="19"/>
  <c r="T49" i="19"/>
  <c r="S49" i="19"/>
  <c r="R49" i="19"/>
  <c r="Q49" i="19"/>
  <c r="P49" i="19"/>
  <c r="O49" i="19"/>
  <c r="N49" i="19"/>
  <c r="M49" i="19"/>
  <c r="W47" i="19"/>
  <c r="V47" i="19"/>
  <c r="U47" i="19"/>
  <c r="T47" i="19"/>
  <c r="S47" i="19"/>
  <c r="Q47" i="19"/>
  <c r="P47" i="19"/>
  <c r="O47" i="19"/>
  <c r="N47" i="19"/>
  <c r="M47" i="19"/>
  <c r="Q45" i="19"/>
  <c r="P45" i="19"/>
  <c r="O45" i="19"/>
  <c r="N45" i="19"/>
  <c r="M45" i="19"/>
  <c r="Q21" i="19"/>
  <c r="P21" i="19"/>
  <c r="O21" i="19"/>
  <c r="N21" i="19"/>
  <c r="M21" i="19"/>
  <c r="Q15" i="19"/>
  <c r="P15" i="19"/>
  <c r="O15" i="19"/>
  <c r="N15" i="19"/>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F290" i="14"/>
  <c r="AG290" i="14" s="1"/>
  <c r="AE290" i="14"/>
  <c r="T290" i="14"/>
  <c r="AF288" i="14"/>
  <c r="AG288" i="14" s="1"/>
  <c r="AE288" i="14"/>
  <c r="T288" i="14"/>
  <c r="AF287" i="14"/>
  <c r="AG287" i="14" s="1"/>
  <c r="AE287" i="14"/>
  <c r="T287" i="14"/>
  <c r="AF286" i="14"/>
  <c r="AG286" i="14" s="1"/>
  <c r="AE286" i="14"/>
  <c r="T286" i="14"/>
  <c r="AF285" i="14"/>
  <c r="AG285" i="14" s="1"/>
  <c r="AE285" i="14"/>
  <c r="T285" i="14"/>
  <c r="AF284" i="14"/>
  <c r="AG284" i="14" s="1"/>
  <c r="AE284" i="14"/>
  <c r="T284" i="14"/>
  <c r="AF283" i="14"/>
  <c r="AG283" i="14" s="1"/>
  <c r="AE283" i="14"/>
  <c r="T283" i="14"/>
  <c r="AF282" i="14"/>
  <c r="AG282" i="14" s="1"/>
  <c r="AE282" i="14"/>
  <c r="T282" i="14"/>
  <c r="AF281" i="14"/>
  <c r="AG281" i="14" s="1"/>
  <c r="AE281" i="14"/>
  <c r="T281" i="14"/>
  <c r="AF280" i="14"/>
  <c r="AG280" i="14" s="1"/>
  <c r="AE280" i="14"/>
  <c r="T280" i="14"/>
  <c r="AF279" i="14"/>
  <c r="AG279" i="14" s="1"/>
  <c r="AE279" i="14"/>
  <c r="T279" i="14"/>
  <c r="AF278" i="14"/>
  <c r="AG278" i="14" s="1"/>
  <c r="AE278" i="14"/>
  <c r="T278" i="14"/>
  <c r="AF277" i="14"/>
  <c r="AG277" i="14" s="1"/>
  <c r="AE277" i="14"/>
  <c r="T277" i="14"/>
  <c r="AF276" i="14"/>
  <c r="AG276" i="14" s="1"/>
  <c r="AE276" i="14"/>
  <c r="T276" i="14"/>
  <c r="AF275" i="14"/>
  <c r="AG275" i="14" s="1"/>
  <c r="AE275" i="14"/>
  <c r="T275" i="14"/>
  <c r="AF274" i="14"/>
  <c r="AG274" i="14" s="1"/>
  <c r="AE274" i="14"/>
  <c r="T274" i="14"/>
  <c r="AF273" i="14"/>
  <c r="AG273" i="14" s="1"/>
  <c r="AE273" i="14"/>
  <c r="T273" i="14"/>
  <c r="AF272" i="14"/>
  <c r="AG272" i="14" s="1"/>
  <c r="AE272" i="14"/>
  <c r="T272" i="14"/>
  <c r="AF271" i="14"/>
  <c r="AG271" i="14" s="1"/>
  <c r="AE271" i="14"/>
  <c r="T271" i="14"/>
  <c r="AF270" i="14"/>
  <c r="AG270" i="14" s="1"/>
  <c r="AE270" i="14"/>
  <c r="T270" i="14"/>
  <c r="AF269" i="14"/>
  <c r="AG269" i="14" s="1"/>
  <c r="AE269" i="14"/>
  <c r="T269" i="14"/>
  <c r="AF268" i="14"/>
  <c r="AG268" i="14" s="1"/>
  <c r="AE268" i="14"/>
  <c r="T268" i="14"/>
  <c r="AF267" i="14"/>
  <c r="AG267" i="14" s="1"/>
  <c r="AE267" i="14"/>
  <c r="T267" i="14"/>
  <c r="AF266" i="14"/>
  <c r="AG266" i="14" s="1"/>
  <c r="AE266" i="14"/>
  <c r="T266" i="14"/>
  <c r="AF265" i="14"/>
  <c r="AG265" i="14" s="1"/>
  <c r="AE265" i="14"/>
  <c r="T265" i="14"/>
  <c r="AF264" i="14"/>
  <c r="AG264" i="14" s="1"/>
  <c r="AE264" i="14"/>
  <c r="T264" i="14"/>
  <c r="AF263" i="14"/>
  <c r="AG263" i="14" s="1"/>
  <c r="AE263" i="14"/>
  <c r="T263" i="14"/>
  <c r="AF262" i="14"/>
  <c r="AG262" i="14" s="1"/>
  <c r="AE262" i="14"/>
  <c r="T262" i="14"/>
  <c r="AF261" i="14"/>
  <c r="AG261" i="14" s="1"/>
  <c r="AE261" i="14"/>
  <c r="T261" i="14"/>
  <c r="AF260" i="14"/>
  <c r="AG260" i="14" s="1"/>
  <c r="AE260" i="14"/>
  <c r="T260" i="14"/>
  <c r="AF259" i="14"/>
  <c r="AG259" i="14" s="1"/>
  <c r="AE259" i="14"/>
  <c r="T259" i="14"/>
  <c r="AF258" i="14"/>
  <c r="AG258" i="14" s="1"/>
  <c r="AE258" i="14"/>
  <c r="T258" i="14"/>
  <c r="AF257" i="14"/>
  <c r="AG257" i="14" s="1"/>
  <c r="AE257" i="14"/>
  <c r="T257" i="14"/>
  <c r="AF256" i="14"/>
  <c r="AG256" i="14" s="1"/>
  <c r="AE256" i="14"/>
  <c r="T256" i="14"/>
  <c r="AF255" i="14"/>
  <c r="AG255" i="14" s="1"/>
  <c r="AE255" i="14"/>
  <c r="T255" i="14"/>
  <c r="AF254" i="14"/>
  <c r="AG254" i="14" s="1"/>
  <c r="AE254" i="14"/>
  <c r="T254" i="14"/>
  <c r="AF253" i="14"/>
  <c r="AG253" i="14" s="1"/>
  <c r="AE253" i="14"/>
  <c r="T253" i="14"/>
  <c r="AF252" i="14"/>
  <c r="AG252" i="14" s="1"/>
  <c r="AE252" i="14"/>
  <c r="T252" i="14"/>
  <c r="AF251" i="14"/>
  <c r="AG251" i="14" s="1"/>
  <c r="AE251" i="14"/>
  <c r="T251" i="14"/>
  <c r="AF250" i="14"/>
  <c r="AG250" i="14" s="1"/>
  <c r="AE250" i="14"/>
  <c r="T250" i="14"/>
  <c r="AF249" i="14"/>
  <c r="AG249" i="14" s="1"/>
  <c r="AE249" i="14"/>
  <c r="T249" i="14"/>
  <c r="AF248" i="14"/>
  <c r="AG248" i="14" s="1"/>
  <c r="T248" i="14"/>
  <c r="AF247" i="14"/>
  <c r="AG247" i="14" s="1"/>
  <c r="T247" i="14"/>
  <c r="AF246" i="14"/>
  <c r="AG246" i="14" s="1"/>
  <c r="T246" i="14"/>
  <c r="AF245" i="14"/>
  <c r="AG245" i="14" s="1"/>
  <c r="T245" i="14"/>
  <c r="AF244" i="14"/>
  <c r="AG244" i="14" s="1"/>
  <c r="AE244" i="14"/>
  <c r="T244" i="14"/>
  <c r="AF243" i="14"/>
  <c r="AG243" i="14" s="1"/>
  <c r="AE243" i="14"/>
  <c r="T243" i="14"/>
  <c r="AF242" i="14"/>
  <c r="AG242" i="14" s="1"/>
  <c r="AE242" i="14"/>
  <c r="T242" i="14"/>
  <c r="AF241" i="14"/>
  <c r="AG241" i="14" s="1"/>
  <c r="AE241" i="14"/>
  <c r="T241" i="14"/>
  <c r="AF240" i="14"/>
  <c r="AG240" i="14" s="1"/>
  <c r="AE240" i="14"/>
  <c r="T240" i="14"/>
  <c r="AF239" i="14"/>
  <c r="AG239" i="14" s="1"/>
  <c r="AE239" i="14"/>
  <c r="T239" i="14"/>
  <c r="AF238" i="14"/>
  <c r="AG238" i="14" s="1"/>
  <c r="AE238" i="14"/>
  <c r="T238" i="14"/>
  <c r="AF237" i="14"/>
  <c r="AG237" i="14" s="1"/>
  <c r="AE237" i="14"/>
  <c r="T237" i="14"/>
  <c r="AF236" i="14"/>
  <c r="AG236" i="14" s="1"/>
  <c r="AE236" i="14"/>
  <c r="T236" i="14"/>
  <c r="AF235" i="14"/>
  <c r="AG235" i="14" s="1"/>
  <c r="AE235" i="14"/>
  <c r="T235" i="14"/>
  <c r="AF234" i="14"/>
  <c r="AG234" i="14" s="1"/>
  <c r="AE234" i="14"/>
  <c r="T234" i="14"/>
  <c r="AF233" i="14"/>
  <c r="AG233" i="14" s="1"/>
  <c r="AE233" i="14"/>
  <c r="T233" i="14"/>
  <c r="AF232" i="14"/>
  <c r="AG232" i="14" s="1"/>
  <c r="AE232" i="14"/>
  <c r="T232" i="14"/>
  <c r="AF231" i="14"/>
  <c r="AG231" i="14" s="1"/>
  <c r="AE231" i="14"/>
  <c r="T231" i="14"/>
  <c r="AF230" i="14"/>
  <c r="AG230" i="14" s="1"/>
  <c r="AE230" i="14"/>
  <c r="T230" i="14"/>
  <c r="AF229" i="14"/>
  <c r="AG229" i="14" s="1"/>
  <c r="AE229" i="14"/>
  <c r="T229" i="14"/>
  <c r="AF228" i="14"/>
  <c r="AG228" i="14" s="1"/>
  <c r="AE228" i="14"/>
  <c r="T228" i="14"/>
  <c r="AF227" i="14"/>
  <c r="AG227" i="14" s="1"/>
  <c r="AE227" i="14"/>
  <c r="T227" i="14"/>
  <c r="AF226" i="14"/>
  <c r="AG226" i="14" s="1"/>
  <c r="AE226" i="14"/>
  <c r="T226" i="14"/>
  <c r="AF225" i="14"/>
  <c r="AG225" i="14" s="1"/>
  <c r="AE225" i="14"/>
  <c r="T225" i="14"/>
  <c r="AF224" i="14"/>
  <c r="AG224" i="14" s="1"/>
  <c r="AE224" i="14"/>
  <c r="T224" i="14"/>
  <c r="AF223" i="14"/>
  <c r="AG223" i="14" s="1"/>
  <c r="AE223" i="14"/>
  <c r="T223" i="14"/>
  <c r="AF222" i="14"/>
  <c r="AG222" i="14" s="1"/>
  <c r="AE222" i="14"/>
  <c r="T222" i="14"/>
  <c r="AF221" i="14"/>
  <c r="AG221" i="14" s="1"/>
  <c r="AE221" i="14"/>
  <c r="T221" i="14"/>
  <c r="AF216" i="14"/>
  <c r="AG216" i="14" s="1"/>
  <c r="AE216" i="14"/>
  <c r="T216" i="14"/>
  <c r="AF215" i="14"/>
  <c r="AG215" i="14" s="1"/>
  <c r="AE215" i="14"/>
  <c r="T215" i="14"/>
  <c r="AF214" i="14"/>
  <c r="AG214" i="14" s="1"/>
  <c r="AE214" i="14"/>
  <c r="T214" i="14"/>
  <c r="AF213" i="14"/>
  <c r="AG213" i="14" s="1"/>
  <c r="AE213" i="14"/>
  <c r="T213" i="14"/>
  <c r="AF212" i="14"/>
  <c r="AG212" i="14" s="1"/>
  <c r="AE212" i="14"/>
  <c r="T212" i="14"/>
  <c r="AF211" i="14"/>
  <c r="AG211" i="14" s="1"/>
  <c r="AE211" i="14"/>
  <c r="T211" i="14"/>
  <c r="AF210" i="14"/>
  <c r="AG210" i="14" s="1"/>
  <c r="AE210" i="14"/>
  <c r="T210" i="14"/>
  <c r="AF209" i="14"/>
  <c r="AG209" i="14" s="1"/>
  <c r="AE209" i="14"/>
  <c r="T209" i="14"/>
  <c r="AF208" i="14"/>
  <c r="AG208" i="14" s="1"/>
  <c r="AE208" i="14"/>
  <c r="T208" i="14"/>
  <c r="AF207" i="14"/>
  <c r="AG207" i="14" s="1"/>
  <c r="AE207" i="14"/>
  <c r="T207" i="14"/>
  <c r="AF206" i="14"/>
  <c r="AG206" i="14" s="1"/>
  <c r="AE206" i="14"/>
  <c r="T206" i="14"/>
  <c r="AF205" i="14"/>
  <c r="AG205" i="14" s="1"/>
  <c r="AE205" i="14"/>
  <c r="T205" i="14"/>
  <c r="AF204" i="14"/>
  <c r="AG204" i="14" s="1"/>
  <c r="AE204" i="14"/>
  <c r="T204" i="14"/>
  <c r="AF203" i="14"/>
  <c r="AG203" i="14" s="1"/>
  <c r="AE203" i="14"/>
  <c r="T203" i="14"/>
  <c r="AF202" i="14"/>
  <c r="AG202" i="14" s="1"/>
  <c r="AE202" i="14"/>
  <c r="T202" i="14"/>
  <c r="AF201" i="14"/>
  <c r="AG201" i="14" s="1"/>
  <c r="AE201" i="14"/>
  <c r="T201" i="14"/>
  <c r="AF200" i="14"/>
  <c r="AG200" i="14" s="1"/>
  <c r="AE200" i="14"/>
  <c r="T200" i="14"/>
  <c r="AF199" i="14"/>
  <c r="AG199" i="14" s="1"/>
  <c r="AE199" i="14"/>
  <c r="T199" i="14"/>
  <c r="AF198" i="14"/>
  <c r="AG198" i="14" s="1"/>
  <c r="AE198" i="14"/>
  <c r="T198" i="14"/>
  <c r="AF197" i="14"/>
  <c r="AG197" i="14" s="1"/>
  <c r="AE197" i="14"/>
  <c r="T197" i="14"/>
  <c r="AF196" i="14"/>
  <c r="AG196" i="14" s="1"/>
  <c r="AE196" i="14"/>
  <c r="T196" i="14"/>
  <c r="AF195" i="14"/>
  <c r="AG195" i="14" s="1"/>
  <c r="AE195" i="14"/>
  <c r="T195" i="14"/>
  <c r="AF194" i="14"/>
  <c r="AG194" i="14" s="1"/>
  <c r="AE194" i="14"/>
  <c r="T194" i="14"/>
  <c r="AF193" i="14"/>
  <c r="AG193" i="14" s="1"/>
  <c r="AE193" i="14"/>
  <c r="T193" i="14"/>
  <c r="AF192" i="14"/>
  <c r="AG192" i="14" s="1"/>
  <c r="AE192" i="14"/>
  <c r="T192" i="14"/>
  <c r="AF191" i="14"/>
  <c r="AG191" i="14" s="1"/>
  <c r="AE191" i="14"/>
  <c r="T191" i="14"/>
  <c r="AF190" i="14"/>
  <c r="AG190" i="14" s="1"/>
  <c r="AE190" i="14"/>
  <c r="T190" i="14"/>
  <c r="AF189" i="14"/>
  <c r="AG189" i="14" s="1"/>
  <c r="AE189" i="14"/>
  <c r="T189" i="14"/>
  <c r="AF188" i="14"/>
  <c r="AG188" i="14" s="1"/>
  <c r="AE188" i="14"/>
  <c r="T188" i="14"/>
  <c r="AF187" i="14"/>
  <c r="AG187" i="14" s="1"/>
  <c r="AE187" i="14"/>
  <c r="T187" i="14"/>
  <c r="AF186" i="14"/>
  <c r="AG186" i="14" s="1"/>
  <c r="AE186" i="14"/>
  <c r="T186" i="14"/>
  <c r="AF185" i="14"/>
  <c r="AG185" i="14" s="1"/>
  <c r="AE185" i="14"/>
  <c r="T185" i="14"/>
  <c r="AF184" i="14"/>
  <c r="AG184" i="14" s="1"/>
  <c r="AE184" i="14"/>
  <c r="T184" i="14"/>
  <c r="AF183" i="14"/>
  <c r="AG183" i="14" s="1"/>
  <c r="AE183" i="14"/>
  <c r="T183" i="14"/>
  <c r="AF182" i="14"/>
  <c r="AG182" i="14" s="1"/>
  <c r="AE182" i="14"/>
  <c r="T182" i="14"/>
  <c r="AF181" i="14"/>
  <c r="AG181" i="14" s="1"/>
  <c r="AE181" i="14"/>
  <c r="T181" i="14"/>
  <c r="AF180" i="14"/>
  <c r="AG180" i="14" s="1"/>
  <c r="AE180" i="14"/>
  <c r="T180" i="14"/>
  <c r="AF179" i="14"/>
  <c r="AG179" i="14" s="1"/>
  <c r="AE179" i="14"/>
  <c r="T179" i="14"/>
  <c r="AF178" i="14"/>
  <c r="AG178" i="14" s="1"/>
  <c r="AE178" i="14"/>
  <c r="T178" i="14"/>
  <c r="AF177" i="14"/>
  <c r="AG177" i="14" s="1"/>
  <c r="AE177" i="14"/>
  <c r="T177" i="14"/>
  <c r="AF176" i="14"/>
  <c r="AG176" i="14" s="1"/>
  <c r="AE176" i="14"/>
  <c r="T176" i="14"/>
  <c r="AF175" i="14"/>
  <c r="AG175" i="14" s="1"/>
  <c r="AE175" i="14"/>
  <c r="T175" i="14"/>
  <c r="AF174" i="14"/>
  <c r="AG174" i="14" s="1"/>
  <c r="AE174" i="14"/>
  <c r="T174" i="14"/>
  <c r="AF173" i="14"/>
  <c r="AG173" i="14" s="1"/>
  <c r="AE173" i="14"/>
  <c r="T173" i="14"/>
  <c r="AF172" i="14"/>
  <c r="AG172" i="14" s="1"/>
  <c r="AE172" i="14"/>
  <c r="T172" i="14"/>
  <c r="AF171" i="14"/>
  <c r="AG171" i="14" s="1"/>
  <c r="AE171" i="14"/>
  <c r="T171" i="14"/>
  <c r="AF170" i="14"/>
  <c r="AG170" i="14" s="1"/>
  <c r="AE170" i="14"/>
  <c r="T170" i="14"/>
  <c r="AF169" i="14"/>
  <c r="AG169" i="14" s="1"/>
  <c r="AE169" i="14"/>
  <c r="T169" i="14"/>
  <c r="AF168" i="14"/>
  <c r="AG168" i="14" s="1"/>
  <c r="AE168" i="14"/>
  <c r="T168" i="14"/>
  <c r="AF167" i="14"/>
  <c r="AG167" i="14" s="1"/>
  <c r="AE167" i="14"/>
  <c r="T167" i="14"/>
  <c r="AF166" i="14"/>
  <c r="AG166" i="14" s="1"/>
  <c r="AE166" i="14"/>
  <c r="T166" i="14"/>
  <c r="AF165" i="14"/>
  <c r="AG165" i="14" s="1"/>
  <c r="AE165" i="14"/>
  <c r="T165" i="14"/>
  <c r="AF164" i="14"/>
  <c r="AG164" i="14" s="1"/>
  <c r="AE164" i="14"/>
  <c r="T164" i="14"/>
  <c r="AF163" i="14"/>
  <c r="AG163" i="14" s="1"/>
  <c r="AE163" i="14"/>
  <c r="T163" i="14"/>
  <c r="AF162" i="14"/>
  <c r="AG162" i="14" s="1"/>
  <c r="AE162" i="14"/>
  <c r="T162" i="14"/>
  <c r="AF161" i="14"/>
  <c r="AG161" i="14" s="1"/>
  <c r="AE161" i="14"/>
  <c r="T161" i="14"/>
  <c r="AF160" i="14"/>
  <c r="AG160" i="14" s="1"/>
  <c r="AE160" i="14"/>
  <c r="T160" i="14"/>
  <c r="AF159" i="14"/>
  <c r="AG159" i="14" s="1"/>
  <c r="AE159" i="14"/>
  <c r="T159" i="14"/>
  <c r="AF158" i="14"/>
  <c r="AG158" i="14" s="1"/>
  <c r="AE158" i="14"/>
  <c r="T158" i="14"/>
  <c r="AF157" i="14"/>
  <c r="AG157" i="14" s="1"/>
  <c r="AE157" i="14"/>
  <c r="T157" i="14"/>
  <c r="AF156" i="14"/>
  <c r="AG156" i="14" s="1"/>
  <c r="AE156" i="14"/>
  <c r="T156" i="14"/>
  <c r="AF155" i="14"/>
  <c r="AG155" i="14" s="1"/>
  <c r="AE155" i="14"/>
  <c r="T155" i="14"/>
  <c r="AF154" i="14"/>
  <c r="AG154" i="14" s="1"/>
  <c r="AE154" i="14"/>
  <c r="T154" i="14"/>
  <c r="AF153" i="14"/>
  <c r="AG153" i="14" s="1"/>
  <c r="AE153" i="14"/>
  <c r="T153" i="14"/>
  <c r="AF152" i="14"/>
  <c r="AG152" i="14" s="1"/>
  <c r="AE152" i="14"/>
  <c r="T152" i="14"/>
  <c r="AF151" i="14"/>
  <c r="AG151" i="14" s="1"/>
  <c r="AE151" i="14"/>
  <c r="T151" i="14"/>
  <c r="AF150" i="14"/>
  <c r="AG150" i="14" s="1"/>
  <c r="AE150" i="14"/>
  <c r="T150" i="14"/>
  <c r="AF149" i="14"/>
  <c r="AG149" i="14" s="1"/>
  <c r="AE149" i="14"/>
  <c r="T149" i="14"/>
  <c r="AF148" i="14"/>
  <c r="AG148" i="14" s="1"/>
  <c r="AE148" i="14"/>
  <c r="T148" i="14"/>
  <c r="AF147" i="14"/>
  <c r="AG147" i="14" s="1"/>
  <c r="AE147" i="14"/>
  <c r="T147" i="14"/>
  <c r="AF146" i="14"/>
  <c r="AG146" i="14" s="1"/>
  <c r="AE146" i="14"/>
  <c r="T146" i="14"/>
  <c r="AF145" i="14"/>
  <c r="AG145" i="14" s="1"/>
  <c r="AE145" i="14"/>
  <c r="T145" i="14"/>
  <c r="AF144" i="14"/>
  <c r="AG144" i="14" s="1"/>
  <c r="AE144" i="14"/>
  <c r="T144" i="14"/>
  <c r="AF143" i="14"/>
  <c r="AG143" i="14" s="1"/>
  <c r="AE143" i="14"/>
  <c r="T143" i="14"/>
  <c r="AF142" i="14"/>
  <c r="AG142" i="14" s="1"/>
  <c r="AE142" i="14"/>
  <c r="T142" i="14"/>
  <c r="AF141" i="14"/>
  <c r="AG141" i="14" s="1"/>
  <c r="AE141" i="14"/>
  <c r="T141" i="14"/>
  <c r="AF140" i="14"/>
  <c r="AG140" i="14" s="1"/>
  <c r="AE140" i="14"/>
  <c r="T140" i="14"/>
  <c r="AF139" i="14"/>
  <c r="AG139" i="14" s="1"/>
  <c r="AE139" i="14"/>
  <c r="T139" i="14"/>
  <c r="AF138" i="14"/>
  <c r="AE138" i="14"/>
  <c r="T138" i="14"/>
  <c r="AF137" i="14"/>
  <c r="AE137" i="14"/>
  <c r="T137" i="14"/>
  <c r="AF136" i="14"/>
  <c r="AE136" i="14"/>
  <c r="T136" i="14"/>
  <c r="AF135" i="14"/>
  <c r="AE135" i="14"/>
  <c r="T135" i="14"/>
  <c r="T134" i="14"/>
  <c r="AF133" i="14"/>
  <c r="AE133" i="14"/>
  <c r="T133" i="14"/>
  <c r="AF132" i="14"/>
  <c r="AE132" i="14"/>
  <c r="T132" i="14"/>
  <c r="AF131" i="14"/>
  <c r="AG131" i="14" s="1"/>
  <c r="AE131" i="14"/>
  <c r="T131" i="14"/>
  <c r="AF130" i="14"/>
  <c r="AE130" i="14"/>
  <c r="T130" i="14"/>
  <c r="AF129" i="14"/>
  <c r="AE129" i="14"/>
  <c r="T129" i="14"/>
  <c r="AF128" i="14"/>
  <c r="AE128" i="14"/>
  <c r="T128" i="14"/>
  <c r="AF127" i="14"/>
  <c r="AE127" i="14"/>
  <c r="T127" i="14"/>
  <c r="AF126" i="14"/>
  <c r="AE126" i="14"/>
  <c r="T126" i="14"/>
  <c r="AF125" i="14"/>
  <c r="AE125" i="14"/>
  <c r="T125" i="14"/>
  <c r="AF124" i="14"/>
  <c r="AE124" i="14"/>
  <c r="T124" i="14"/>
  <c r="AF123" i="14"/>
  <c r="AE123" i="14"/>
  <c r="T123" i="14"/>
  <c r="AF122" i="14"/>
  <c r="AE122" i="14"/>
  <c r="T122" i="14"/>
  <c r="AF121" i="14"/>
  <c r="AE121" i="14"/>
  <c r="T121" i="14"/>
  <c r="AF120" i="14"/>
  <c r="AE120" i="14"/>
  <c r="T120" i="14"/>
  <c r="AF119" i="14"/>
  <c r="AE119" i="14"/>
  <c r="T119" i="14"/>
  <c r="AF118" i="14"/>
  <c r="AE118" i="14"/>
  <c r="T118" i="14"/>
  <c r="AF117" i="14"/>
  <c r="AE117" i="14"/>
  <c r="T117" i="14"/>
  <c r="AF116" i="14"/>
  <c r="AE116" i="14"/>
  <c r="T116" i="14"/>
  <c r="AF115" i="14"/>
  <c r="AE115" i="14"/>
  <c r="T115" i="14"/>
  <c r="AF114" i="14"/>
  <c r="AE114" i="14"/>
  <c r="T114" i="14"/>
  <c r="AF113" i="14"/>
  <c r="AE113" i="14"/>
  <c r="T113" i="14"/>
  <c r="AF112" i="14"/>
  <c r="AE112" i="14"/>
  <c r="T112" i="14"/>
  <c r="AF111" i="14"/>
  <c r="AE111" i="14"/>
  <c r="T111" i="14"/>
  <c r="AF110" i="14"/>
  <c r="AE110" i="14"/>
  <c r="T110" i="14"/>
  <c r="AF109" i="14"/>
  <c r="AE109" i="14"/>
  <c r="T109" i="14"/>
  <c r="AF108" i="14"/>
  <c r="AE108" i="14"/>
  <c r="T108" i="14"/>
  <c r="AF107" i="14"/>
  <c r="AE107" i="14"/>
  <c r="T107" i="14"/>
  <c r="AF106" i="14"/>
  <c r="AE106" i="14"/>
  <c r="T106" i="14"/>
  <c r="AF105" i="14"/>
  <c r="AE105" i="14"/>
  <c r="T105" i="14"/>
  <c r="AF104" i="14"/>
  <c r="AE104" i="14"/>
  <c r="T104" i="14"/>
  <c r="AF103" i="14"/>
  <c r="AE103" i="14"/>
  <c r="T103" i="14"/>
  <c r="AF102" i="14"/>
  <c r="AE102" i="14"/>
  <c r="T102" i="14"/>
  <c r="AF101" i="14"/>
  <c r="AE101" i="14"/>
  <c r="T101" i="14"/>
  <c r="AF100" i="14"/>
  <c r="AE100" i="14"/>
  <c r="T100" i="14"/>
  <c r="AF99" i="14"/>
  <c r="AE99" i="14"/>
  <c r="T99" i="14"/>
  <c r="AF98" i="14"/>
  <c r="AE98" i="14"/>
  <c r="T98" i="14"/>
  <c r="AF97" i="14"/>
  <c r="AE97" i="14"/>
  <c r="T97" i="14"/>
  <c r="AF96" i="14"/>
  <c r="AE96" i="14"/>
  <c r="T96" i="14"/>
  <c r="AF95" i="14"/>
  <c r="AE95" i="14"/>
  <c r="T95" i="14"/>
  <c r="AF94" i="14"/>
  <c r="AE94" i="14"/>
  <c r="T94" i="14"/>
  <c r="AF93" i="14"/>
  <c r="AE93" i="14"/>
  <c r="T93" i="14"/>
  <c r="AF92" i="14"/>
  <c r="AE92" i="14"/>
  <c r="T92" i="14"/>
  <c r="AF91" i="14"/>
  <c r="AE91" i="14"/>
  <c r="T91" i="14"/>
  <c r="AF90" i="14"/>
  <c r="AE90" i="14"/>
  <c r="T90" i="14"/>
  <c r="AF89" i="14"/>
  <c r="AE89" i="14"/>
  <c r="T89" i="14"/>
  <c r="AF88" i="14"/>
  <c r="AE88" i="14"/>
  <c r="T88" i="14"/>
  <c r="AF87" i="14"/>
  <c r="AE87" i="14"/>
  <c r="T87" i="14"/>
  <c r="AF86" i="14"/>
  <c r="AE86" i="14"/>
  <c r="T86" i="14"/>
  <c r="AF85" i="14"/>
  <c r="AE85" i="14"/>
  <c r="T85" i="14"/>
  <c r="AF84" i="14"/>
  <c r="AE84" i="14"/>
  <c r="T84" i="14"/>
  <c r="AF82" i="14"/>
  <c r="AE82" i="14"/>
  <c r="T82" i="14"/>
  <c r="AF81" i="14"/>
  <c r="AE81" i="14"/>
  <c r="T81" i="14"/>
  <c r="AF80" i="14"/>
  <c r="AE80" i="14"/>
  <c r="T80" i="14"/>
  <c r="AF79" i="14"/>
  <c r="AE79" i="14"/>
  <c r="T79" i="14"/>
  <c r="AF78" i="14"/>
  <c r="AE78" i="14"/>
  <c r="T78" i="14"/>
  <c r="AF77" i="14"/>
  <c r="AE77" i="14"/>
  <c r="T77" i="14"/>
  <c r="AF76" i="14"/>
  <c r="AE76" i="14"/>
  <c r="T76" i="14"/>
  <c r="AF75" i="14"/>
  <c r="AE75" i="14"/>
  <c r="T75" i="14"/>
  <c r="AF74" i="14"/>
  <c r="AE74" i="14"/>
  <c r="T74" i="14"/>
  <c r="AF73" i="14"/>
  <c r="AE73" i="14"/>
  <c r="T73" i="14"/>
  <c r="AF72" i="14"/>
  <c r="AE72" i="14"/>
  <c r="T72" i="14"/>
  <c r="AF71" i="14"/>
  <c r="AE71" i="14"/>
  <c r="T71" i="14"/>
  <c r="AF70" i="14"/>
  <c r="AE70" i="14"/>
  <c r="T70" i="14"/>
  <c r="AF69" i="14"/>
  <c r="AE69" i="14"/>
  <c r="T69" i="14"/>
  <c r="AF68" i="14"/>
  <c r="AE68" i="14"/>
  <c r="T68" i="14"/>
  <c r="AF67" i="14"/>
  <c r="AE67" i="14"/>
  <c r="T67" i="14"/>
  <c r="AF66" i="14"/>
  <c r="AE66" i="14"/>
  <c r="T66" i="14"/>
  <c r="AF65" i="14"/>
  <c r="AE65" i="14"/>
  <c r="T65" i="14"/>
  <c r="AF64" i="14"/>
  <c r="AE64" i="14"/>
  <c r="T64" i="14"/>
  <c r="AF63" i="14"/>
  <c r="AE63" i="14"/>
  <c r="T63" i="14"/>
  <c r="AF62" i="14"/>
  <c r="AE62" i="14"/>
  <c r="T62" i="14"/>
  <c r="AF61" i="14"/>
  <c r="AE61" i="14"/>
  <c r="T61" i="14"/>
  <c r="AF60" i="14"/>
  <c r="AE60" i="14"/>
  <c r="T60" i="14"/>
  <c r="AF59" i="14"/>
  <c r="AE59" i="14"/>
  <c r="T59" i="14"/>
  <c r="AF58" i="14"/>
  <c r="AE58" i="14"/>
  <c r="T58" i="14"/>
  <c r="AF57" i="14"/>
  <c r="AE57" i="14"/>
  <c r="T57" i="14"/>
  <c r="AF56" i="14"/>
  <c r="AE56" i="14"/>
  <c r="T56" i="14"/>
  <c r="AF55" i="14"/>
  <c r="AE55" i="14"/>
  <c r="T55" i="14"/>
  <c r="AF54" i="14"/>
  <c r="AE54" i="14"/>
  <c r="T54" i="14"/>
  <c r="AF53" i="14"/>
  <c r="AE53" i="14"/>
  <c r="T53" i="14"/>
  <c r="AF52" i="14"/>
  <c r="AE52" i="14"/>
  <c r="T52" i="14"/>
  <c r="AF51" i="14"/>
  <c r="AE51" i="14"/>
  <c r="T51" i="14"/>
  <c r="AF50" i="14"/>
  <c r="AE50" i="14"/>
  <c r="T50" i="14"/>
  <c r="AF49" i="14"/>
  <c r="AE49" i="14"/>
  <c r="T49" i="14"/>
  <c r="AF48" i="14"/>
  <c r="AE48" i="14"/>
  <c r="T48" i="14"/>
  <c r="AF47" i="14"/>
  <c r="AE47" i="14"/>
  <c r="T47" i="14"/>
  <c r="AF46" i="14"/>
  <c r="AE46" i="14"/>
  <c r="T46" i="14"/>
  <c r="AF45" i="14"/>
  <c r="AE45" i="14"/>
  <c r="T45" i="14"/>
  <c r="AF44" i="14"/>
  <c r="AE44" i="14"/>
  <c r="T44" i="14"/>
  <c r="AF43" i="14"/>
  <c r="AE43" i="14"/>
  <c r="T43" i="14"/>
  <c r="AF42" i="14"/>
  <c r="AE42" i="14"/>
  <c r="T42" i="14"/>
  <c r="AF41" i="14"/>
  <c r="AE41" i="14"/>
  <c r="T41" i="14"/>
  <c r="AF40" i="14"/>
  <c r="AE40" i="14"/>
  <c r="T40" i="14"/>
  <c r="AF39" i="14"/>
  <c r="AE39" i="14"/>
  <c r="T39" i="14"/>
  <c r="AF38" i="14"/>
  <c r="AE38" i="14"/>
  <c r="T38" i="14"/>
  <c r="AF37" i="14"/>
  <c r="AE37" i="14"/>
  <c r="T37" i="14"/>
  <c r="AF36" i="14"/>
  <c r="AE36" i="14"/>
  <c r="T36" i="14"/>
  <c r="AF35" i="14"/>
  <c r="AE35" i="14"/>
  <c r="T35" i="14"/>
  <c r="AF34" i="14"/>
  <c r="AE34" i="14"/>
  <c r="T34" i="14"/>
  <c r="AF33" i="14"/>
  <c r="AE33" i="14"/>
  <c r="T33" i="14"/>
  <c r="AF32" i="14"/>
  <c r="AE32" i="14"/>
  <c r="T32" i="14"/>
  <c r="AF31" i="14"/>
  <c r="AE31" i="14"/>
  <c r="T31" i="14"/>
  <c r="AF30" i="14"/>
  <c r="AE30" i="14"/>
  <c r="T30" i="14"/>
  <c r="AF29" i="14"/>
  <c r="AE29" i="14"/>
  <c r="T29" i="14"/>
  <c r="AF28" i="14"/>
  <c r="AE28" i="14"/>
  <c r="T28" i="14"/>
  <c r="AF26" i="14"/>
  <c r="AE26" i="14"/>
  <c r="T26" i="14"/>
  <c r="AF24" i="14"/>
  <c r="AE24" i="14"/>
  <c r="T24" i="14"/>
  <c r="AF23" i="14"/>
  <c r="AE23" i="14"/>
  <c r="T23" i="14"/>
  <c r="AF22" i="14"/>
  <c r="AE22" i="14"/>
  <c r="T22" i="14"/>
  <c r="AF21" i="14"/>
  <c r="AE21" i="14"/>
  <c r="T21" i="14"/>
  <c r="AF20" i="14"/>
  <c r="AE20" i="14"/>
  <c r="T20" i="14"/>
  <c r="AF19" i="14"/>
  <c r="AE19" i="14"/>
  <c r="T19" i="14"/>
  <c r="AF18" i="14"/>
  <c r="AE18" i="14"/>
  <c r="T18" i="14"/>
  <c r="AF17" i="14"/>
  <c r="AE17" i="14"/>
  <c r="T17" i="14"/>
  <c r="AF16" i="14"/>
  <c r="AE16" i="14"/>
  <c r="T16" i="14"/>
  <c r="AF15" i="14"/>
  <c r="AE15" i="14"/>
  <c r="T15" i="14"/>
  <c r="AF14" i="14"/>
  <c r="AE14" i="14"/>
  <c r="T14" i="14"/>
  <c r="AF13" i="14"/>
  <c r="AE13" i="14"/>
  <c r="T13" i="14"/>
  <c r="AF12" i="14"/>
  <c r="AE12" i="14"/>
  <c r="T12" i="14"/>
  <c r="AF11" i="14"/>
  <c r="AE11" i="14"/>
  <c r="T11" i="14"/>
  <c r="AF10" i="14"/>
  <c r="AE10" i="14"/>
  <c r="T10" i="14"/>
  <c r="AF9" i="14"/>
  <c r="AE9" i="14"/>
  <c r="T9" i="14"/>
  <c r="AF8" i="14"/>
  <c r="AE8" i="14"/>
  <c r="T8" i="14"/>
  <c r="AF7" i="14"/>
  <c r="AE7" i="14"/>
  <c r="T7" i="14"/>
  <c r="AF6" i="14"/>
  <c r="AE6" i="14"/>
  <c r="T6" i="14"/>
  <c r="AF5" i="14"/>
  <c r="AE5" i="14"/>
  <c r="T5" i="14"/>
  <c r="CC2" i="62"/>
  <c r="CC3" i="62"/>
  <c r="CC6" i="62"/>
  <c r="CC7" i="62"/>
  <c r="CC8" i="62"/>
  <c r="CC5" i="62"/>
  <c r="F18" i="62" l="1"/>
  <c r="F25" i="62"/>
  <c r="F11" i="62"/>
  <c r="F14" i="62"/>
  <c r="F10" i="62"/>
  <c r="H10" i="62" s="1"/>
  <c r="F13" i="62"/>
  <c r="F20" i="62"/>
  <c r="F29" i="62"/>
  <c r="O172" i="19"/>
  <c r="F12" i="62"/>
  <c r="F15" i="62"/>
  <c r="F22" i="62"/>
  <c r="F26" i="62"/>
  <c r="P172" i="19"/>
  <c r="F24" i="62"/>
  <c r="Q172" i="19"/>
  <c r="F17" i="62"/>
  <c r="F23" i="62"/>
  <c r="N172" i="19"/>
  <c r="U101" i="19"/>
  <c r="S101" i="19"/>
  <c r="W101" i="19"/>
  <c r="T101" i="19"/>
  <c r="V101" i="19"/>
  <c r="H171" i="19"/>
  <c r="E29" i="62" s="1"/>
  <c r="S155" i="19"/>
  <c r="S171" i="19" s="1"/>
  <c r="M70" i="19"/>
  <c r="F16" i="62" s="1"/>
  <c r="AG7" i="14"/>
  <c r="AG11" i="14"/>
  <c r="AG17" i="14"/>
  <c r="AG26" i="14"/>
  <c r="AG55" i="14"/>
  <c r="AG63" i="14"/>
  <c r="AG67" i="14"/>
  <c r="AG71" i="14"/>
  <c r="AG75" i="14"/>
  <c r="AG79" i="14"/>
  <c r="AG84" i="14"/>
  <c r="AG92" i="14"/>
  <c r="AG104" i="14"/>
  <c r="AG120" i="14"/>
  <c r="AG128" i="14"/>
  <c r="AG19" i="14"/>
  <c r="AG37" i="14"/>
  <c r="AG53" i="14"/>
  <c r="AG61" i="14"/>
  <c r="AG65" i="14"/>
  <c r="AG77" i="14"/>
  <c r="AG81" i="14"/>
  <c r="AG106" i="14"/>
  <c r="AG126" i="14"/>
  <c r="AG130" i="14"/>
  <c r="AG136" i="14"/>
  <c r="AG96" i="14"/>
  <c r="AG112" i="14"/>
  <c r="AG132" i="14"/>
  <c r="AG5" i="14"/>
  <c r="AG9" i="14"/>
  <c r="AG13" i="14"/>
  <c r="AG15" i="14"/>
  <c r="AG23" i="14"/>
  <c r="AG29" i="14"/>
  <c r="AG33" i="14"/>
  <c r="AG41" i="14"/>
  <c r="AG45" i="14"/>
  <c r="AG49" i="14"/>
  <c r="AG57" i="14"/>
  <c r="AG69" i="14"/>
  <c r="AG73" i="14"/>
  <c r="AG86" i="14"/>
  <c r="AG90" i="14"/>
  <c r="AG94" i="14"/>
  <c r="AG98" i="14"/>
  <c r="AG102" i="14"/>
  <c r="AG110" i="14"/>
  <c r="AG114" i="14"/>
  <c r="AG118" i="14"/>
  <c r="AG122" i="14"/>
  <c r="AG8" i="14"/>
  <c r="AG12" i="14"/>
  <c r="AG18" i="14"/>
  <c r="AG22" i="14"/>
  <c r="AG28" i="14"/>
  <c r="AG32" i="14"/>
  <c r="AG36" i="14"/>
  <c r="AG40" i="14"/>
  <c r="AG44" i="14"/>
  <c r="AG48" i="14"/>
  <c r="AG52" i="14"/>
  <c r="AG56" i="14"/>
  <c r="AG60" i="14"/>
  <c r="AG64" i="14"/>
  <c r="AG68" i="14"/>
  <c r="AG72" i="14"/>
  <c r="AG76" i="14"/>
  <c r="AG80" i="14"/>
  <c r="AG85" i="14"/>
  <c r="AG89" i="14"/>
  <c r="AG93" i="14"/>
  <c r="AG97" i="14"/>
  <c r="AG101" i="14"/>
  <c r="AG105" i="14"/>
  <c r="AG109" i="14"/>
  <c r="AG113" i="14"/>
  <c r="AG117" i="14"/>
  <c r="AG121" i="14"/>
  <c r="AG125" i="14"/>
  <c r="AG129" i="14"/>
  <c r="AG133" i="14"/>
  <c r="AG135" i="14"/>
  <c r="AG21" i="14"/>
  <c r="AG31" i="14"/>
  <c r="AG35" i="14"/>
  <c r="AG39" i="14"/>
  <c r="AG43" i="14"/>
  <c r="AG47" i="14"/>
  <c r="AG51" i="14"/>
  <c r="AG59" i="14"/>
  <c r="AG88" i="14"/>
  <c r="AG100" i="14"/>
  <c r="AG108" i="14"/>
  <c r="AG116" i="14"/>
  <c r="AG124" i="14"/>
  <c r="AG138" i="14"/>
  <c r="AG6" i="14"/>
  <c r="AG10" i="14"/>
  <c r="AG14" i="14"/>
  <c r="AG16" i="14"/>
  <c r="AG20" i="14"/>
  <c r="AG24" i="14"/>
  <c r="AG30" i="14"/>
  <c r="AG34" i="14"/>
  <c r="AG38" i="14"/>
  <c r="AG42" i="14"/>
  <c r="AG46" i="14"/>
  <c r="AG50" i="14"/>
  <c r="AG54" i="14"/>
  <c r="AG58" i="14"/>
  <c r="AG62" i="14"/>
  <c r="AG66" i="14"/>
  <c r="AG70" i="14"/>
  <c r="AG74" i="14"/>
  <c r="AG78" i="14"/>
  <c r="AG82" i="14"/>
  <c r="AG87" i="14"/>
  <c r="AG91" i="14"/>
  <c r="AG95" i="14"/>
  <c r="AG99" i="14"/>
  <c r="AG103" i="14"/>
  <c r="AG107" i="14"/>
  <c r="AG111" i="14"/>
  <c r="AG115" i="14"/>
  <c r="AG119" i="14"/>
  <c r="AG123" i="14"/>
  <c r="AG127" i="14"/>
  <c r="AG137" i="14"/>
  <c r="H27" i="62"/>
  <c r="CF32" i="62" s="1"/>
  <c r="CD32" i="62" s="1"/>
  <c r="T80" i="19"/>
  <c r="V83" i="19"/>
  <c r="W124" i="19"/>
  <c r="S130" i="19"/>
  <c r="W130" i="19"/>
  <c r="T15" i="19"/>
  <c r="I172" i="19"/>
  <c r="S60" i="19"/>
  <c r="W60" i="19"/>
  <c r="S70" i="19"/>
  <c r="W70" i="19"/>
  <c r="V145" i="19"/>
  <c r="V148" i="19"/>
  <c r="V130" i="19"/>
  <c r="S140" i="19"/>
  <c r="T145" i="19"/>
  <c r="T148" i="19"/>
  <c r="T171" i="19"/>
  <c r="T83" i="19"/>
  <c r="U45" i="19"/>
  <c r="T45" i="19"/>
  <c r="S45" i="19"/>
  <c r="W45" i="19"/>
  <c r="J172" i="19"/>
  <c r="T60" i="19"/>
  <c r="S83" i="19"/>
  <c r="W83" i="19"/>
  <c r="S97" i="19"/>
  <c r="W97" i="19"/>
  <c r="V97" i="19"/>
  <c r="T97" i="19"/>
  <c r="T124" i="19"/>
  <c r="T140" i="19"/>
  <c r="U145" i="19"/>
  <c r="U148" i="19"/>
  <c r="T21" i="19"/>
  <c r="S21" i="19"/>
  <c r="W21" i="19"/>
  <c r="V21" i="19"/>
  <c r="V45" i="19"/>
  <c r="U60" i="19"/>
  <c r="U124" i="19"/>
  <c r="U130" i="19"/>
  <c r="T130" i="19"/>
  <c r="U140" i="19"/>
  <c r="U171" i="19"/>
  <c r="S15" i="19"/>
  <c r="W15" i="19"/>
  <c r="V15" i="19"/>
  <c r="U15" i="19"/>
  <c r="L172" i="19"/>
  <c r="U21" i="19"/>
  <c r="V60" i="19"/>
  <c r="V70" i="19"/>
  <c r="U70" i="19"/>
  <c r="T70" i="19"/>
  <c r="S80" i="19"/>
  <c r="W80" i="19"/>
  <c r="V80" i="19"/>
  <c r="U80" i="19"/>
  <c r="U83" i="19"/>
  <c r="U97" i="19"/>
  <c r="V124" i="19"/>
  <c r="S145" i="19"/>
  <c r="W145" i="19"/>
  <c r="S148" i="19"/>
  <c r="W148" i="19"/>
  <c r="W171" i="19"/>
  <c r="V171" i="19"/>
  <c r="Q1" i="86"/>
  <c r="AH52" i="20"/>
  <c r="AP52" i="20"/>
  <c r="AB34" i="20"/>
  <c r="AI34" i="20"/>
  <c r="AP34" i="20"/>
  <c r="AE38" i="20"/>
  <c r="AA52" i="20"/>
  <c r="AJ52" i="20"/>
  <c r="G132" i="86" s="1"/>
  <c r="J132" i="86" s="1"/>
  <c r="AQ52" i="20"/>
  <c r="AB60" i="20"/>
  <c r="AD62" i="20"/>
  <c r="AA67" i="20"/>
  <c r="AP78" i="20"/>
  <c r="AF36" i="20"/>
  <c r="AM36" i="20"/>
  <c r="AM60" i="20"/>
  <c r="AA36" i="20"/>
  <c r="AH36" i="20"/>
  <c r="AC43" i="20"/>
  <c r="AC48" i="20"/>
  <c r="AC49" i="20"/>
  <c r="AO49" i="20"/>
  <c r="AE54" i="20"/>
  <c r="AP54" i="20"/>
  <c r="AB56" i="20"/>
  <c r="AF65" i="20"/>
  <c r="AB73" i="20"/>
  <c r="AP73" i="20"/>
  <c r="AD77" i="20"/>
  <c r="AK33" i="20"/>
  <c r="AD34" i="20"/>
  <c r="AJ34" i="20"/>
  <c r="AB35" i="20"/>
  <c r="AB36" i="20"/>
  <c r="AI36" i="20"/>
  <c r="AQ36" i="20"/>
  <c r="AF38" i="20"/>
  <c r="AE42" i="20"/>
  <c r="AM42" i="20"/>
  <c r="AF43" i="20"/>
  <c r="AD49" i="20"/>
  <c r="AE50" i="20"/>
  <c r="AP50" i="20"/>
  <c r="AB52" i="20"/>
  <c r="AL52" i="20"/>
  <c r="I132" i="86" s="1"/>
  <c r="L132" i="86" s="1"/>
  <c r="AJ53" i="20"/>
  <c r="AF54" i="20"/>
  <c r="AQ54" i="20"/>
  <c r="AF55" i="20"/>
  <c r="AF56" i="20"/>
  <c r="AB57" i="20"/>
  <c r="AA58" i="20"/>
  <c r="AM58" i="20"/>
  <c r="AD60" i="20"/>
  <c r="AC61" i="20"/>
  <c r="AH62" i="20"/>
  <c r="AH67" i="20"/>
  <c r="AB70" i="20"/>
  <c r="AB72" i="20"/>
  <c r="AE73" i="20"/>
  <c r="AE77" i="20"/>
  <c r="AB78" i="20"/>
  <c r="AE79" i="20"/>
  <c r="AQ79" i="20"/>
  <c r="AO80" i="20"/>
  <c r="AA81" i="20"/>
  <c r="AP81" i="20"/>
  <c r="AM83" i="20"/>
  <c r="AD85" i="20"/>
  <c r="AP86" i="20"/>
  <c r="AQ90" i="20"/>
  <c r="AQ92" i="20"/>
  <c r="AO93" i="20"/>
  <c r="AD94" i="20"/>
  <c r="AE34" i="20"/>
  <c r="AD36" i="20"/>
  <c r="AG99" i="20"/>
  <c r="AQ96" i="20"/>
  <c r="AD96" i="20"/>
  <c r="AM95" i="20"/>
  <c r="AA95" i="20"/>
  <c r="AE94" i="20"/>
  <c r="AM93" i="20"/>
  <c r="AC92" i="20"/>
  <c r="AL90" i="20"/>
  <c r="I160" i="86" s="1"/>
  <c r="L160" i="86" s="1"/>
  <c r="AE89" i="20"/>
  <c r="AQ87" i="20"/>
  <c r="AF87" i="20"/>
  <c r="AK86" i="20"/>
  <c r="H95" i="86" s="1"/>
  <c r="K95" i="86" s="1"/>
  <c r="AC86" i="20"/>
  <c r="AH85" i="20"/>
  <c r="AH83" i="20"/>
  <c r="AA83" i="20"/>
  <c r="AQ81" i="20"/>
  <c r="AL81" i="20"/>
  <c r="AE81" i="20"/>
  <c r="AC80" i="20"/>
  <c r="AF79" i="20"/>
  <c r="AK78" i="20"/>
  <c r="H148" i="86" s="1"/>
  <c r="K148" i="86" s="1"/>
  <c r="AC78" i="20"/>
  <c r="AH77" i="20"/>
  <c r="AM75" i="20"/>
  <c r="AF75" i="20"/>
  <c r="AM73" i="20"/>
  <c r="AF73" i="20"/>
  <c r="AG72" i="20"/>
  <c r="AP71" i="20"/>
  <c r="AI71" i="20"/>
  <c r="AA71" i="20"/>
  <c r="AL70" i="20"/>
  <c r="I101" i="86" s="1"/>
  <c r="L101" i="86" s="1"/>
  <c r="AF70" i="20"/>
  <c r="AP69" i="20"/>
  <c r="AI69" i="20"/>
  <c r="AB69" i="20"/>
  <c r="AL67" i="20"/>
  <c r="I79" i="86" s="1"/>
  <c r="L79" i="86" s="1"/>
  <c r="AD67" i="20"/>
  <c r="AC66" i="20"/>
  <c r="AJ65" i="20"/>
  <c r="AQ64" i="20"/>
  <c r="AL64" i="20"/>
  <c r="AF64" i="20"/>
  <c r="AA64" i="20"/>
  <c r="AP62" i="20"/>
  <c r="AJ62" i="20"/>
  <c r="AE62" i="20"/>
  <c r="AF61" i="20"/>
  <c r="AP60" i="20"/>
  <c r="AJ60" i="20"/>
  <c r="AE60" i="20"/>
  <c r="AI58" i="20"/>
  <c r="AD58" i="20"/>
  <c r="AC57" i="20"/>
  <c r="AI56" i="20"/>
  <c r="AD56" i="20"/>
  <c r="AM54" i="20"/>
  <c r="AH54" i="20"/>
  <c r="AB54" i="20"/>
  <c r="AK53" i="20"/>
  <c r="AB53" i="20"/>
  <c r="AM99" i="20"/>
  <c r="AI96" i="20"/>
  <c r="AB95" i="20"/>
  <c r="AK94" i="20"/>
  <c r="AP92" i="20"/>
  <c r="AD92" i="20"/>
  <c r="AO89" i="20"/>
  <c r="AI89" i="20"/>
  <c r="AJ87" i="20"/>
  <c r="G142" i="86" s="1"/>
  <c r="J142" i="86" s="1"/>
  <c r="AA87" i="20"/>
  <c r="AL86" i="20"/>
  <c r="I95" i="86" s="1"/>
  <c r="L95" i="86" s="1"/>
  <c r="AF86" i="20"/>
  <c r="AP85" i="20"/>
  <c r="AI85" i="20"/>
  <c r="AB85" i="20"/>
  <c r="AQ83" i="20"/>
  <c r="AI83" i="20"/>
  <c r="AB83" i="20"/>
  <c r="AD82" i="20"/>
  <c r="AM81" i="20"/>
  <c r="AF81" i="20"/>
  <c r="AG80" i="20"/>
  <c r="AP79" i="20"/>
  <c r="AI79" i="20"/>
  <c r="AA79" i="20"/>
  <c r="AL78" i="20"/>
  <c r="I148" i="86" s="1"/>
  <c r="L148" i="86" s="1"/>
  <c r="AF78" i="20"/>
  <c r="AP77" i="20"/>
  <c r="AI77" i="20"/>
  <c r="AB77" i="20"/>
  <c r="AH75" i="20"/>
  <c r="AA75" i="20"/>
  <c r="AH73" i="20"/>
  <c r="AA73" i="20"/>
  <c r="AH72" i="20"/>
  <c r="AQ71" i="20"/>
  <c r="AJ71" i="20"/>
  <c r="G147" i="86" s="1"/>
  <c r="J147" i="86" s="1"/>
  <c r="AD71" i="20"/>
  <c r="AG70" i="20"/>
  <c r="AJ69" i="20"/>
  <c r="G103" i="86" s="1"/>
  <c r="J103" i="86" s="1"/>
  <c r="AD69" i="20"/>
  <c r="AK68" i="20"/>
  <c r="AM67" i="20"/>
  <c r="AF67" i="20"/>
  <c r="AL65" i="20"/>
  <c r="AB65" i="20"/>
  <c r="AM64" i="20"/>
  <c r="AH64" i="20"/>
  <c r="AB64" i="20"/>
  <c r="AQ62" i="20"/>
  <c r="AL62" i="20"/>
  <c r="AF62" i="20"/>
  <c r="AA62" i="20"/>
  <c r="AJ61" i="20"/>
  <c r="AQ60" i="20"/>
  <c r="AL60" i="20"/>
  <c r="AF60" i="20"/>
  <c r="AA60" i="20"/>
  <c r="AP58" i="20"/>
  <c r="AJ58" i="20"/>
  <c r="G22" i="86" s="1"/>
  <c r="J22" i="86" s="1"/>
  <c r="AE58" i="20"/>
  <c r="AF57" i="20"/>
  <c r="AP56" i="20"/>
  <c r="AJ56" i="20"/>
  <c r="AE56" i="20"/>
  <c r="AI54" i="20"/>
  <c r="AD54" i="20"/>
  <c r="AC53" i="20"/>
  <c r="AI52" i="20"/>
  <c r="AD52" i="20"/>
  <c r="AM50" i="20"/>
  <c r="AD50" i="20"/>
  <c r="AP49" i="20"/>
  <c r="AK49" i="20"/>
  <c r="G13" i="86"/>
  <c r="J13" i="86" s="1"/>
  <c r="AF33" i="20"/>
  <c r="AA34" i="20"/>
  <c r="AF34" i="20"/>
  <c r="AL34" i="20"/>
  <c r="AQ34" i="20"/>
  <c r="AE36" i="20"/>
  <c r="AJ36" i="20"/>
  <c r="AP36" i="20"/>
  <c r="AK37" i="20"/>
  <c r="AB38" i="20"/>
  <c r="AH38" i="20"/>
  <c r="AM38" i="20"/>
  <c r="AB40" i="20"/>
  <c r="AA42" i="20"/>
  <c r="AF42" i="20"/>
  <c r="AL42" i="20"/>
  <c r="AQ42" i="20"/>
  <c r="AK48" i="20"/>
  <c r="AL49" i="20"/>
  <c r="AA50" i="20"/>
  <c r="AF52" i="20"/>
  <c r="AM52" i="20"/>
  <c r="AF53" i="20"/>
  <c r="AA54" i="20"/>
  <c r="AL54" i="20"/>
  <c r="AH56" i="20"/>
  <c r="AQ56" i="20"/>
  <c r="AH58" i="20"/>
  <c r="AQ58" i="20"/>
  <c r="AH60" i="20"/>
  <c r="AB61" i="20"/>
  <c r="AB62" i="20"/>
  <c r="AM62" i="20"/>
  <c r="AD64" i="20"/>
  <c r="AB67" i="20"/>
  <c r="AQ67" i="20"/>
  <c r="AH69" i="20"/>
  <c r="AC70" i="20"/>
  <c r="AP70" i="20"/>
  <c r="AL71" i="20"/>
  <c r="I147" i="86" s="1"/>
  <c r="L147" i="86" s="1"/>
  <c r="AL72" i="20"/>
  <c r="I135" i="86" s="1"/>
  <c r="L135" i="86" s="1"/>
  <c r="AJ73" i="20"/>
  <c r="G158" i="86" s="1"/>
  <c r="J158" i="86" s="1"/>
  <c r="AQ73" i="20"/>
  <c r="AI75" i="20"/>
  <c r="AM77" i="20"/>
  <c r="AG78" i="20"/>
  <c r="AD79" i="20"/>
  <c r="AL80" i="20"/>
  <c r="I96" i="86" s="1"/>
  <c r="L96" i="86" s="1"/>
  <c r="AH81" i="20"/>
  <c r="AH82" i="20"/>
  <c r="AL83" i="20"/>
  <c r="AM85" i="20"/>
  <c r="AG86" i="20"/>
  <c r="AD87" i="20"/>
  <c r="AK89" i="20"/>
  <c r="H162" i="86" s="1"/>
  <c r="K162" i="86" s="1"/>
  <c r="AL92" i="20"/>
  <c r="AP99" i="20"/>
  <c r="AO72" i="20"/>
  <c r="X26" i="66"/>
  <c r="AP51" i="20"/>
  <c r="AL51" i="20"/>
  <c r="I43" i="86" s="1"/>
  <c r="L43" i="86" s="1"/>
  <c r="AH51" i="20"/>
  <c r="AD51" i="20"/>
  <c r="AP59" i="20"/>
  <c r="AL59" i="20"/>
  <c r="I23" i="86" s="1"/>
  <c r="L23" i="86" s="1"/>
  <c r="AH59" i="20"/>
  <c r="AD59" i="20"/>
  <c r="AG59" i="20"/>
  <c r="AP63" i="20"/>
  <c r="AL63" i="20"/>
  <c r="AH63" i="20"/>
  <c r="AD63" i="20"/>
  <c r="AO63" i="20"/>
  <c r="AP74" i="20"/>
  <c r="AK74" i="20"/>
  <c r="H159" i="86" s="1"/>
  <c r="K159" i="86" s="1"/>
  <c r="AF74" i="20"/>
  <c r="AJ74" i="20"/>
  <c r="G159" i="86" s="1"/>
  <c r="AL76" i="20"/>
  <c r="AG76" i="20"/>
  <c r="AB76" i="20"/>
  <c r="AJ76" i="20"/>
  <c r="AP76" i="20"/>
  <c r="AA88" i="20"/>
  <c r="AP88" i="20"/>
  <c r="AI88" i="20"/>
  <c r="AC88" i="20"/>
  <c r="AH88" i="20"/>
  <c r="AQ91" i="20"/>
  <c r="AJ91" i="20"/>
  <c r="AC91" i="20"/>
  <c r="AO91" i="20"/>
  <c r="AI91" i="20"/>
  <c r="AA91" i="20"/>
  <c r="AP35" i="20"/>
  <c r="AL35" i="20"/>
  <c r="AH35" i="20"/>
  <c r="AD35" i="20"/>
  <c r="AG35" i="20"/>
  <c r="AO35" i="20"/>
  <c r="AP40" i="20"/>
  <c r="AL40" i="20"/>
  <c r="AH40" i="20"/>
  <c r="AD40" i="20"/>
  <c r="AG40" i="20"/>
  <c r="AO40" i="20"/>
  <c r="AQ48" i="20"/>
  <c r="AM48" i="20"/>
  <c r="AI48" i="20"/>
  <c r="AE48" i="20"/>
  <c r="AA48" i="20"/>
  <c r="AH48" i="20"/>
  <c r="AO48" i="20"/>
  <c r="AF51" i="20"/>
  <c r="AF59" i="20"/>
  <c r="AF63" i="20"/>
  <c r="AP66" i="20"/>
  <c r="AK66" i="20"/>
  <c r="AF66" i="20"/>
  <c r="AJ66" i="20"/>
  <c r="G88" i="86" s="1"/>
  <c r="J88" i="86" s="1"/>
  <c r="AL68" i="20"/>
  <c r="I82" i="86" s="1"/>
  <c r="L82" i="86" s="1"/>
  <c r="AG68" i="20"/>
  <c r="AB68" i="20"/>
  <c r="AJ68" i="20"/>
  <c r="G82" i="86" s="1"/>
  <c r="AP68" i="20"/>
  <c r="AH74" i="20"/>
  <c r="AF76" i="20"/>
  <c r="AO76" i="20"/>
  <c r="AP84" i="20"/>
  <c r="AK84" i="20"/>
  <c r="AF84" i="20"/>
  <c r="AL84" i="20"/>
  <c r="AG84" i="20"/>
  <c r="AB84" i="20"/>
  <c r="AO84" i="20"/>
  <c r="AG51" i="20"/>
  <c r="AO51" i="20"/>
  <c r="AP55" i="20"/>
  <c r="AL55" i="20"/>
  <c r="I6" i="86" s="1"/>
  <c r="L6" i="86" s="1"/>
  <c r="AH55" i="20"/>
  <c r="AD55" i="20"/>
  <c r="AG55" i="20"/>
  <c r="AO55" i="20"/>
  <c r="AO59" i="20"/>
  <c r="AG63" i="20"/>
  <c r="AP33" i="20"/>
  <c r="AL33" i="20"/>
  <c r="AH33" i="20"/>
  <c r="AD33" i="20"/>
  <c r="AG33" i="20"/>
  <c r="AO33" i="20"/>
  <c r="AC35" i="20"/>
  <c r="AK35" i="20"/>
  <c r="AP37" i="20"/>
  <c r="AL37" i="20"/>
  <c r="AH37" i="20"/>
  <c r="AD37" i="20"/>
  <c r="AG37" i="20"/>
  <c r="AO37" i="20"/>
  <c r="AC40" i="20"/>
  <c r="AK40" i="20"/>
  <c r="AP43" i="20"/>
  <c r="AL43" i="20"/>
  <c r="AH43" i="20"/>
  <c r="AD43" i="20"/>
  <c r="AG43" i="20"/>
  <c r="AO43" i="20"/>
  <c r="AD48" i="20"/>
  <c r="AL48" i="20"/>
  <c r="AB51" i="20"/>
  <c r="AJ51" i="20"/>
  <c r="G43" i="86" s="1"/>
  <c r="AB55" i="20"/>
  <c r="AJ55" i="20"/>
  <c r="G6" i="86" s="1"/>
  <c r="AB59" i="20"/>
  <c r="AJ59" i="20"/>
  <c r="G23" i="86" s="1"/>
  <c r="J23" i="86" s="1"/>
  <c r="AB63" i="20"/>
  <c r="AJ63" i="20"/>
  <c r="AD66" i="20"/>
  <c r="AO66" i="20"/>
  <c r="AD68" i="20"/>
  <c r="AC74" i="20"/>
  <c r="AK76" i="20"/>
  <c r="AP82" i="20"/>
  <c r="AK82" i="20"/>
  <c r="AF82" i="20"/>
  <c r="AO82" i="20"/>
  <c r="AJ82" i="20"/>
  <c r="AJ84" i="20"/>
  <c r="AG88" i="20"/>
  <c r="AF91" i="20"/>
  <c r="AB33" i="20"/>
  <c r="AJ33" i="20"/>
  <c r="AF35" i="20"/>
  <c r="AB37" i="20"/>
  <c r="AJ37" i="20"/>
  <c r="AF40" i="20"/>
  <c r="AB43" i="20"/>
  <c r="AJ43" i="20"/>
  <c r="AG48" i="20"/>
  <c r="AQ49" i="20"/>
  <c r="AM49" i="20"/>
  <c r="AI49" i="20"/>
  <c r="AE49" i="20"/>
  <c r="AA49" i="20"/>
  <c r="AG49" i="20"/>
  <c r="AJ50" i="20"/>
  <c r="G100" i="86" s="1"/>
  <c r="AF50" i="20"/>
  <c r="AB50" i="20"/>
  <c r="AH50" i="20"/>
  <c r="AC51" i="20"/>
  <c r="AK51" i="20"/>
  <c r="H43" i="86" s="1"/>
  <c r="K43" i="86" s="1"/>
  <c r="AP53" i="20"/>
  <c r="AL53" i="20"/>
  <c r="AH53" i="20"/>
  <c r="AD53" i="20"/>
  <c r="AG53" i="20"/>
  <c r="AO53" i="20"/>
  <c r="AC55" i="20"/>
  <c r="AK55" i="20"/>
  <c r="H6" i="86" s="1"/>
  <c r="K6" i="86" s="1"/>
  <c r="AP57" i="20"/>
  <c r="AL57" i="20"/>
  <c r="AH57" i="20"/>
  <c r="AD57" i="20"/>
  <c r="AG57" i="20"/>
  <c r="AO57" i="20"/>
  <c r="AC59" i="20"/>
  <c r="AK59" i="20"/>
  <c r="AP61" i="20"/>
  <c r="AL61" i="20"/>
  <c r="AH61" i="20"/>
  <c r="AD61" i="20"/>
  <c r="AG61" i="20"/>
  <c r="AO61" i="20"/>
  <c r="AC63" i="20"/>
  <c r="AK63" i="20"/>
  <c r="AM65" i="20"/>
  <c r="AH65" i="20"/>
  <c r="AD65" i="20"/>
  <c r="AG65" i="20"/>
  <c r="AP65" i="20"/>
  <c r="AH66" i="20"/>
  <c r="AF68" i="20"/>
  <c r="AO68" i="20"/>
  <c r="AD74" i="20"/>
  <c r="AO74" i="20"/>
  <c r="AD76" i="20"/>
  <c r="AC82" i="20"/>
  <c r="AM88" i="20"/>
  <c r="AG90" i="20"/>
  <c r="AM90" i="20"/>
  <c r="AF93" i="20"/>
  <c r="AD72" i="20"/>
  <c r="AJ72" i="20"/>
  <c r="G135" i="86" s="1"/>
  <c r="J135" i="86" s="1"/>
  <c r="AD80" i="20"/>
  <c r="AJ80" i="20"/>
  <c r="G96" i="86" s="1"/>
  <c r="J96" i="86" s="1"/>
  <c r="AA90" i="20"/>
  <c r="AG92" i="20"/>
  <c r="AA93" i="20"/>
  <c r="AJ93" i="20"/>
  <c r="AH99" i="20"/>
  <c r="AJ99" i="20"/>
  <c r="AF99" i="20"/>
  <c r="AB99" i="20"/>
  <c r="AJ96" i="20"/>
  <c r="AF96" i="20"/>
  <c r="AB96" i="20"/>
  <c r="AP95" i="20"/>
  <c r="AL95" i="20"/>
  <c r="AH95" i="20"/>
  <c r="AD95" i="20"/>
  <c r="AJ94" i="20"/>
  <c r="G165" i="86" s="1"/>
  <c r="AF94" i="20"/>
  <c r="AB94" i="20"/>
  <c r="AP93" i="20"/>
  <c r="AL93" i="20"/>
  <c r="I22" i="86" s="1"/>
  <c r="L22" i="86" s="1"/>
  <c r="AH93" i="20"/>
  <c r="AO99" i="20"/>
  <c r="AK99" i="20"/>
  <c r="AE99" i="20"/>
  <c r="AP96" i="20"/>
  <c r="AL96" i="20"/>
  <c r="AG96" i="20"/>
  <c r="AA96" i="20"/>
  <c r="AI95" i="20"/>
  <c r="AC95" i="20"/>
  <c r="AP94" i="20"/>
  <c r="AL94" i="20"/>
  <c r="AG94" i="20"/>
  <c r="AA94" i="20"/>
  <c r="AI93" i="20"/>
  <c r="AD93" i="20"/>
  <c r="AJ92" i="20"/>
  <c r="AF92" i="20"/>
  <c r="AB92" i="20"/>
  <c r="AP91" i="20"/>
  <c r="AL91" i="20"/>
  <c r="AH91" i="20"/>
  <c r="AD91" i="20"/>
  <c r="AJ90" i="20"/>
  <c r="G160" i="86" s="1"/>
  <c r="J160" i="86" s="1"/>
  <c r="AF90" i="20"/>
  <c r="AB90" i="20"/>
  <c r="AP89" i="20"/>
  <c r="AL89" i="20"/>
  <c r="I162" i="86" s="1"/>
  <c r="L162" i="86" s="1"/>
  <c r="AH89" i="20"/>
  <c r="AD89" i="20"/>
  <c r="AJ88" i="20"/>
  <c r="AF88" i="20"/>
  <c r="AB88" i="20"/>
  <c r="AP87" i="20"/>
  <c r="AL87" i="20"/>
  <c r="I142" i="86" s="1"/>
  <c r="L142" i="86" s="1"/>
  <c r="AH87" i="20"/>
  <c r="AQ99" i="20"/>
  <c r="AL99" i="20"/>
  <c r="AD99" i="20"/>
  <c r="AM96" i="20"/>
  <c r="AE96" i="20"/>
  <c r="AQ95" i="20"/>
  <c r="AK95" i="20"/>
  <c r="AE95" i="20"/>
  <c r="AO94" i="20"/>
  <c r="AI94" i="20"/>
  <c r="AC94" i="20"/>
  <c r="AG93" i="20"/>
  <c r="AB93" i="20"/>
  <c r="AO92" i="20"/>
  <c r="AK92" i="20"/>
  <c r="AE92" i="20"/>
  <c r="AM91" i="20"/>
  <c r="AG91" i="20"/>
  <c r="AB91" i="20"/>
  <c r="AO90" i="20"/>
  <c r="AK90" i="20"/>
  <c r="H160" i="86" s="1"/>
  <c r="K160" i="86" s="1"/>
  <c r="AE90" i="20"/>
  <c r="AM89" i="20"/>
  <c r="AG89" i="20"/>
  <c r="AB89" i="20"/>
  <c r="AO88" i="20"/>
  <c r="AK88" i="20"/>
  <c r="AE88" i="20"/>
  <c r="AM87" i="20"/>
  <c r="AG87" i="20"/>
  <c r="AC87" i="20"/>
  <c r="AQ86" i="20"/>
  <c r="AM86" i="20"/>
  <c r="AI86" i="20"/>
  <c r="AE86" i="20"/>
  <c r="AA86" i="20"/>
  <c r="AO85" i="20"/>
  <c r="AK85" i="20"/>
  <c r="AG85" i="20"/>
  <c r="AC85" i="20"/>
  <c r="AQ84" i="20"/>
  <c r="AM84" i="20"/>
  <c r="AI84" i="20"/>
  <c r="AE84" i="20"/>
  <c r="AA84" i="20"/>
  <c r="AO83" i="20"/>
  <c r="AK83" i="20"/>
  <c r="AG83" i="20"/>
  <c r="AC83" i="20"/>
  <c r="AQ82" i="20"/>
  <c r="AM82" i="20"/>
  <c r="AI82" i="20"/>
  <c r="AE82" i="20"/>
  <c r="AA82" i="20"/>
  <c r="AO81" i="20"/>
  <c r="AK81" i="20"/>
  <c r="AG81" i="20"/>
  <c r="AC81" i="20"/>
  <c r="AQ80" i="20"/>
  <c r="AM80" i="20"/>
  <c r="AI80" i="20"/>
  <c r="AE80" i="20"/>
  <c r="AA80" i="20"/>
  <c r="AO79" i="20"/>
  <c r="AK79" i="20"/>
  <c r="H136" i="86" s="1"/>
  <c r="K136" i="86" s="1"/>
  <c r="AG79" i="20"/>
  <c r="AC79" i="20"/>
  <c r="AQ78" i="20"/>
  <c r="AM78" i="20"/>
  <c r="AI78" i="20"/>
  <c r="AE78" i="20"/>
  <c r="AA78" i="20"/>
  <c r="AO77" i="20"/>
  <c r="AK77" i="20"/>
  <c r="AG77" i="20"/>
  <c r="AC77" i="20"/>
  <c r="AQ76" i="20"/>
  <c r="AM76" i="20"/>
  <c r="AI76" i="20"/>
  <c r="AE76" i="20"/>
  <c r="AA76" i="20"/>
  <c r="AO75" i="20"/>
  <c r="AK75" i="20"/>
  <c r="AG75" i="20"/>
  <c r="AC75" i="20"/>
  <c r="AQ74" i="20"/>
  <c r="AM74" i="20"/>
  <c r="AI74" i="20"/>
  <c r="AE74" i="20"/>
  <c r="AA74" i="20"/>
  <c r="AO73" i="20"/>
  <c r="AK73" i="20"/>
  <c r="H158" i="86" s="1"/>
  <c r="K158" i="86" s="1"/>
  <c r="AG73" i="20"/>
  <c r="AC73" i="20"/>
  <c r="AQ72" i="20"/>
  <c r="AM72" i="20"/>
  <c r="AI72" i="20"/>
  <c r="AE72" i="20"/>
  <c r="AA72" i="20"/>
  <c r="AO71" i="20"/>
  <c r="AK71" i="20"/>
  <c r="H147" i="86" s="1"/>
  <c r="K147" i="86" s="1"/>
  <c r="AG71" i="20"/>
  <c r="AC71" i="20"/>
  <c r="AQ70" i="20"/>
  <c r="AM70" i="20"/>
  <c r="AI70" i="20"/>
  <c r="AE70" i="20"/>
  <c r="AA70" i="20"/>
  <c r="AO69" i="20"/>
  <c r="AK69" i="20"/>
  <c r="H103" i="86" s="1"/>
  <c r="K103" i="86" s="1"/>
  <c r="AG69" i="20"/>
  <c r="AC69" i="20"/>
  <c r="AQ68" i="20"/>
  <c r="AM68" i="20"/>
  <c r="AI68" i="20"/>
  <c r="AE68" i="20"/>
  <c r="AA68" i="20"/>
  <c r="AO67" i="20"/>
  <c r="AK67" i="20"/>
  <c r="H79" i="86" s="1"/>
  <c r="K79" i="86" s="1"/>
  <c r="AG67" i="20"/>
  <c r="AC67" i="20"/>
  <c r="AQ66" i="20"/>
  <c r="AM66" i="20"/>
  <c r="AI66" i="20"/>
  <c r="AE66" i="20"/>
  <c r="AA66" i="20"/>
  <c r="AO65" i="20"/>
  <c r="AK65" i="20"/>
  <c r="AA33" i="20"/>
  <c r="AE33" i="20"/>
  <c r="AI33" i="20"/>
  <c r="AM33" i="20"/>
  <c r="AQ33" i="20"/>
  <c r="AC34" i="20"/>
  <c r="AG34" i="20"/>
  <c r="AK34" i="20"/>
  <c r="AO34" i="20"/>
  <c r="AA35" i="20"/>
  <c r="AE35" i="20"/>
  <c r="AI35" i="20"/>
  <c r="AM35" i="20"/>
  <c r="AQ35" i="20"/>
  <c r="AC36" i="20"/>
  <c r="AG36" i="20"/>
  <c r="AK36" i="20"/>
  <c r="AO36" i="20"/>
  <c r="AA37" i="20"/>
  <c r="AE37" i="20"/>
  <c r="AI37" i="20"/>
  <c r="AM37" i="20"/>
  <c r="AQ37" i="20"/>
  <c r="AC38" i="20"/>
  <c r="AG38" i="20"/>
  <c r="AK38" i="20"/>
  <c r="AO38" i="20"/>
  <c r="AA40" i="20"/>
  <c r="AE40" i="20"/>
  <c r="AI40" i="20"/>
  <c r="AM40" i="20"/>
  <c r="AQ40" i="20"/>
  <c r="AC42" i="20"/>
  <c r="AG42" i="20"/>
  <c r="AK42" i="20"/>
  <c r="AO42" i="20"/>
  <c r="AA43" i="20"/>
  <c r="AE43" i="20"/>
  <c r="AI43" i="20"/>
  <c r="AM43" i="20"/>
  <c r="AQ43" i="20"/>
  <c r="H13" i="86"/>
  <c r="K13" i="86" s="1"/>
  <c r="AB48" i="20"/>
  <c r="AF48" i="20"/>
  <c r="AJ48" i="20"/>
  <c r="AB49" i="20"/>
  <c r="AF49" i="20"/>
  <c r="AJ49" i="20"/>
  <c r="AC50" i="20"/>
  <c r="AG50" i="20"/>
  <c r="AK50" i="20"/>
  <c r="AO50" i="20"/>
  <c r="AA51" i="20"/>
  <c r="AE51" i="20"/>
  <c r="AI51" i="20"/>
  <c r="AM51" i="20"/>
  <c r="AQ51" i="20"/>
  <c r="AC52" i="20"/>
  <c r="AG52" i="20"/>
  <c r="AK52" i="20"/>
  <c r="H132" i="86" s="1"/>
  <c r="K132" i="86" s="1"/>
  <c r="AO52" i="20"/>
  <c r="AA53" i="20"/>
  <c r="AE53" i="20"/>
  <c r="AI53" i="20"/>
  <c r="AM53" i="20"/>
  <c r="AQ53" i="20"/>
  <c r="AC54" i="20"/>
  <c r="AG54" i="20"/>
  <c r="AK54" i="20"/>
  <c r="AO54" i="20"/>
  <c r="AA55" i="20"/>
  <c r="AE55" i="20"/>
  <c r="AI55" i="20"/>
  <c r="AM55" i="20"/>
  <c r="AQ55" i="20"/>
  <c r="AC56" i="20"/>
  <c r="AG56" i="20"/>
  <c r="AK56" i="20"/>
  <c r="H2" i="86" s="1"/>
  <c r="K2" i="86" s="1"/>
  <c r="AO56" i="20"/>
  <c r="AA57" i="20"/>
  <c r="AE57" i="20"/>
  <c r="AI57" i="20"/>
  <c r="AM57" i="20"/>
  <c r="AQ57" i="20"/>
  <c r="AC58" i="20"/>
  <c r="AG58" i="20"/>
  <c r="AK58" i="20"/>
  <c r="H22" i="86" s="1"/>
  <c r="K22" i="86" s="1"/>
  <c r="AO58" i="20"/>
  <c r="AA59" i="20"/>
  <c r="AE59" i="20"/>
  <c r="AI59" i="20"/>
  <c r="AM59" i="20"/>
  <c r="AQ59" i="20"/>
  <c r="AC60" i="20"/>
  <c r="AG60" i="20"/>
  <c r="AK60" i="20"/>
  <c r="AO60" i="20"/>
  <c r="AA61" i="20"/>
  <c r="AE61" i="20"/>
  <c r="AI61" i="20"/>
  <c r="AM61" i="20"/>
  <c r="AQ61" i="20"/>
  <c r="AC62" i="20"/>
  <c r="AG62" i="20"/>
  <c r="AK62" i="20"/>
  <c r="AO62" i="20"/>
  <c r="AA63" i="20"/>
  <c r="AE63" i="20"/>
  <c r="AI63" i="20"/>
  <c r="AM63" i="20"/>
  <c r="AQ63" i="20"/>
  <c r="AC64" i="20"/>
  <c r="AG64" i="20"/>
  <c r="AK64" i="20"/>
  <c r="AO64" i="20"/>
  <c r="AA65" i="20"/>
  <c r="AE65" i="20"/>
  <c r="AI65" i="20"/>
  <c r="AB66" i="20"/>
  <c r="AG66" i="20"/>
  <c r="AL66" i="20"/>
  <c r="I88" i="86" s="1"/>
  <c r="L88" i="86" s="1"/>
  <c r="AE67" i="20"/>
  <c r="AJ67" i="20"/>
  <c r="G79" i="86" s="1"/>
  <c r="J79" i="86" s="1"/>
  <c r="AP67" i="20"/>
  <c r="AC68" i="20"/>
  <c r="AH68" i="20"/>
  <c r="AA69" i="20"/>
  <c r="AF69" i="20"/>
  <c r="AL69" i="20"/>
  <c r="I103" i="86" s="1"/>
  <c r="L103" i="86" s="1"/>
  <c r="AQ69" i="20"/>
  <c r="AD70" i="20"/>
  <c r="AJ70" i="20"/>
  <c r="G101" i="86" s="1"/>
  <c r="J101" i="86" s="1"/>
  <c r="AO70" i="20"/>
  <c r="AB71" i="20"/>
  <c r="AH71" i="20"/>
  <c r="AM71" i="20"/>
  <c r="AF72" i="20"/>
  <c r="AK72" i="20"/>
  <c r="H135" i="86" s="1"/>
  <c r="K135" i="86" s="1"/>
  <c r="AP72" i="20"/>
  <c r="AD73" i="20"/>
  <c r="AI73" i="20"/>
  <c r="AB74" i="20"/>
  <c r="AG74" i="20"/>
  <c r="AL74" i="20"/>
  <c r="I159" i="86" s="1"/>
  <c r="L159" i="86" s="1"/>
  <c r="AE75" i="20"/>
  <c r="AJ75" i="20"/>
  <c r="G120" i="86" s="1"/>
  <c r="J120" i="86" s="1"/>
  <c r="AP75" i="20"/>
  <c r="AC76" i="20"/>
  <c r="AH76" i="20"/>
  <c r="AA77" i="20"/>
  <c r="AF77" i="20"/>
  <c r="AL77" i="20"/>
  <c r="I100" i="86" s="1"/>
  <c r="L100" i="86" s="1"/>
  <c r="AQ77" i="20"/>
  <c r="AD78" i="20"/>
  <c r="AJ78" i="20"/>
  <c r="AO78" i="20"/>
  <c r="AB79" i="20"/>
  <c r="AH79" i="20"/>
  <c r="AM79" i="20"/>
  <c r="AF80" i="20"/>
  <c r="AK80" i="20"/>
  <c r="H96" i="86" s="1"/>
  <c r="K96" i="86" s="1"/>
  <c r="AP80" i="20"/>
  <c r="AD81" i="20"/>
  <c r="AI81" i="20"/>
  <c r="AB82" i="20"/>
  <c r="AG82" i="20"/>
  <c r="AL82" i="20"/>
  <c r="AE83" i="20"/>
  <c r="AJ83" i="20"/>
  <c r="AP83" i="20"/>
  <c r="AC84" i="20"/>
  <c r="AH84" i="20"/>
  <c r="AA85" i="20"/>
  <c r="AF85" i="20"/>
  <c r="AL85" i="20"/>
  <c r="AQ85" i="20"/>
  <c r="AD86" i="20"/>
  <c r="AJ86" i="20"/>
  <c r="G95" i="86" s="1"/>
  <c r="AO86" i="20"/>
  <c r="AB87" i="20"/>
  <c r="AI87" i="20"/>
  <c r="AO87" i="20"/>
  <c r="AD88" i="20"/>
  <c r="AL88" i="20"/>
  <c r="AQ88" i="20"/>
  <c r="AF89" i="20"/>
  <c r="AC90" i="20"/>
  <c r="AI90" i="20"/>
  <c r="AP90" i="20"/>
  <c r="AE91" i="20"/>
  <c r="AK91" i="20"/>
  <c r="AA92" i="20"/>
  <c r="AH92" i="20"/>
  <c r="AC93" i="20"/>
  <c r="AK93" i="20"/>
  <c r="AQ93" i="20"/>
  <c r="AH94" i="20"/>
  <c r="AQ94" i="20"/>
  <c r="AG95" i="20"/>
  <c r="AO95" i="20"/>
  <c r="AH96" i="20"/>
  <c r="AO96" i="20"/>
  <c r="AA99" i="20"/>
  <c r="AI99" i="20"/>
  <c r="K172" i="19"/>
  <c r="G27" i="62"/>
  <c r="CD8" i="62"/>
  <c r="CD7" i="62"/>
  <c r="CD5" i="62"/>
  <c r="D30" i="62"/>
  <c r="C30" i="62"/>
  <c r="I168" i="86"/>
  <c r="L168" i="86" s="1"/>
  <c r="I167" i="86"/>
  <c r="L167" i="86" s="1"/>
  <c r="G166" i="86"/>
  <c r="J166" i="86" s="1"/>
  <c r="I164" i="86"/>
  <c r="L164" i="86" s="1"/>
  <c r="H163" i="86"/>
  <c r="K163" i="86" s="1"/>
  <c r="I161" i="86"/>
  <c r="L161" i="86" s="1"/>
  <c r="G157" i="86"/>
  <c r="J157" i="86" s="1"/>
  <c r="G155" i="86"/>
  <c r="J155" i="86" s="1"/>
  <c r="I154" i="86"/>
  <c r="I153" i="86"/>
  <c r="L153" i="86" s="1"/>
  <c r="H152" i="86"/>
  <c r="K152" i="86" s="1"/>
  <c r="I151" i="86"/>
  <c r="L151" i="86" s="1"/>
  <c r="G150" i="86"/>
  <c r="J150" i="86" s="1"/>
  <c r="G149" i="86"/>
  <c r="J149" i="86" s="1"/>
  <c r="I146" i="86"/>
  <c r="L146" i="86" s="1"/>
  <c r="H145" i="86"/>
  <c r="K145" i="86" s="1"/>
  <c r="G144" i="86"/>
  <c r="J144" i="86" s="1"/>
  <c r="H143" i="86"/>
  <c r="K143" i="86" s="1"/>
  <c r="I140" i="86"/>
  <c r="L140" i="86" s="1"/>
  <c r="H138" i="86"/>
  <c r="K138" i="86" s="1"/>
  <c r="H137" i="86"/>
  <c r="K137" i="86" s="1"/>
  <c r="G136" i="86"/>
  <c r="J136" i="86" s="1"/>
  <c r="I133" i="86"/>
  <c r="L133" i="86" s="1"/>
  <c r="I131" i="86"/>
  <c r="L131" i="86" s="1"/>
  <c r="G130" i="86"/>
  <c r="J130" i="86" s="1"/>
  <c r="I128" i="86"/>
  <c r="L128" i="86" s="1"/>
  <c r="H126" i="86"/>
  <c r="K126" i="86" s="1"/>
  <c r="G125" i="86"/>
  <c r="J125" i="86" s="1"/>
  <c r="G123" i="86"/>
  <c r="J123" i="86" s="1"/>
  <c r="I122" i="86"/>
  <c r="L122" i="86" s="1"/>
  <c r="H121" i="86"/>
  <c r="K121" i="86" s="1"/>
  <c r="H119" i="86"/>
  <c r="K119" i="86" s="1"/>
  <c r="I116" i="86"/>
  <c r="L116" i="86" s="1"/>
  <c r="I115" i="86"/>
  <c r="L115" i="86" s="1"/>
  <c r="H168" i="86"/>
  <c r="K168" i="86" s="1"/>
  <c r="H167" i="86"/>
  <c r="K167" i="86" s="1"/>
  <c r="H164" i="86"/>
  <c r="K164" i="86" s="1"/>
  <c r="G163" i="86"/>
  <c r="J163" i="86" s="1"/>
  <c r="H161" i="86"/>
  <c r="K161" i="86" s="1"/>
  <c r="I156" i="86"/>
  <c r="L156" i="86" s="1"/>
  <c r="H154" i="86"/>
  <c r="K154" i="86" s="1"/>
  <c r="H153" i="86"/>
  <c r="K153" i="86" s="1"/>
  <c r="G152" i="86"/>
  <c r="J152" i="86" s="1"/>
  <c r="H151" i="86"/>
  <c r="K151" i="86" s="1"/>
  <c r="H146" i="86"/>
  <c r="K146" i="86" s="1"/>
  <c r="G145" i="86"/>
  <c r="J145" i="86" s="1"/>
  <c r="G143" i="86"/>
  <c r="J143" i="86" s="1"/>
  <c r="I141" i="86"/>
  <c r="L141" i="86" s="1"/>
  <c r="H140" i="86"/>
  <c r="K140" i="86" s="1"/>
  <c r="G138" i="86"/>
  <c r="J138" i="86" s="1"/>
  <c r="G137" i="86"/>
  <c r="J137" i="86" s="1"/>
  <c r="I134" i="86"/>
  <c r="L134" i="86" s="1"/>
  <c r="H133" i="86"/>
  <c r="K133" i="86" s="1"/>
  <c r="H131" i="86"/>
  <c r="K131" i="86" s="1"/>
  <c r="I129" i="86"/>
  <c r="L129" i="86" s="1"/>
  <c r="H128" i="86"/>
  <c r="K128" i="86" s="1"/>
  <c r="I127" i="86"/>
  <c r="L127" i="86" s="1"/>
  <c r="G126" i="86"/>
  <c r="J126" i="86" s="1"/>
  <c r="I124" i="86"/>
  <c r="L124" i="86" s="1"/>
  <c r="H122" i="86"/>
  <c r="K122" i="86" s="1"/>
  <c r="G121" i="86"/>
  <c r="J121" i="86" s="1"/>
  <c r="G119" i="86"/>
  <c r="J119" i="86" s="1"/>
  <c r="I118" i="86"/>
  <c r="L118" i="86" s="1"/>
  <c r="I117" i="86"/>
  <c r="L117" i="86" s="1"/>
  <c r="H116" i="86"/>
  <c r="K116" i="86" s="1"/>
  <c r="H115" i="86"/>
  <c r="K115" i="86" s="1"/>
  <c r="G113" i="86"/>
  <c r="J113" i="86" s="1"/>
  <c r="H110" i="86"/>
  <c r="K110" i="86" s="1"/>
  <c r="G168" i="86"/>
  <c r="J168" i="86" s="1"/>
  <c r="G167" i="86"/>
  <c r="I166" i="86"/>
  <c r="L166" i="86" s="1"/>
  <c r="H165" i="86"/>
  <c r="K165" i="86" s="1"/>
  <c r="G164" i="86"/>
  <c r="J164" i="86" s="1"/>
  <c r="G161" i="86"/>
  <c r="I158" i="86"/>
  <c r="L158" i="86" s="1"/>
  <c r="I157" i="86"/>
  <c r="L157" i="86" s="1"/>
  <c r="H156" i="86"/>
  <c r="K156" i="86" s="1"/>
  <c r="I155" i="86"/>
  <c r="L155" i="86" s="1"/>
  <c r="G154" i="86"/>
  <c r="G153" i="86"/>
  <c r="G151" i="86"/>
  <c r="I150" i="86"/>
  <c r="L150" i="86" s="1"/>
  <c r="I149" i="86"/>
  <c r="L149" i="86" s="1"/>
  <c r="G146" i="86"/>
  <c r="J146" i="86" s="1"/>
  <c r="I144" i="86"/>
  <c r="L144" i="86" s="1"/>
  <c r="H142" i="86"/>
  <c r="K142" i="86" s="1"/>
  <c r="H141" i="86"/>
  <c r="K141" i="86" s="1"/>
  <c r="G140" i="86"/>
  <c r="J140" i="86" s="1"/>
  <c r="I136" i="86"/>
  <c r="L136" i="86" s="1"/>
  <c r="H134" i="86"/>
  <c r="K134" i="86" s="1"/>
  <c r="G133" i="86"/>
  <c r="G131" i="86"/>
  <c r="I130" i="86"/>
  <c r="L130" i="86" s="1"/>
  <c r="H129" i="86"/>
  <c r="K129" i="86" s="1"/>
  <c r="G128" i="86"/>
  <c r="J128" i="86" s="1"/>
  <c r="H127" i="86"/>
  <c r="K127" i="86" s="1"/>
  <c r="I125" i="86"/>
  <c r="L125" i="86" s="1"/>
  <c r="H124" i="86"/>
  <c r="K124" i="86" s="1"/>
  <c r="I123" i="86"/>
  <c r="L123" i="86" s="1"/>
  <c r="G122" i="86"/>
  <c r="I120" i="86"/>
  <c r="L120" i="86" s="1"/>
  <c r="H118" i="86"/>
  <c r="K118" i="86" s="1"/>
  <c r="H166" i="86"/>
  <c r="K166" i="86" s="1"/>
  <c r="I163" i="86"/>
  <c r="L163" i="86" s="1"/>
  <c r="G162" i="86"/>
  <c r="H157" i="86"/>
  <c r="K157" i="86" s="1"/>
  <c r="G156" i="86"/>
  <c r="J156" i="86" s="1"/>
  <c r="H155" i="86"/>
  <c r="K155" i="86" s="1"/>
  <c r="I152" i="86"/>
  <c r="L152" i="86" s="1"/>
  <c r="H150" i="86"/>
  <c r="K150" i="86" s="1"/>
  <c r="H149" i="86"/>
  <c r="K149" i="86" s="1"/>
  <c r="I145" i="86"/>
  <c r="L145" i="86" s="1"/>
  <c r="H144" i="86"/>
  <c r="K144" i="86" s="1"/>
  <c r="I143" i="86"/>
  <c r="L143" i="86" s="1"/>
  <c r="G141" i="86"/>
  <c r="I138" i="86"/>
  <c r="L138" i="86" s="1"/>
  <c r="I137" i="86"/>
  <c r="L137" i="86" s="1"/>
  <c r="G134" i="86"/>
  <c r="J134" i="86" s="1"/>
  <c r="H130" i="86"/>
  <c r="K130" i="86" s="1"/>
  <c r="G129" i="86"/>
  <c r="J129" i="86" s="1"/>
  <c r="G116" i="86"/>
  <c r="I114" i="86"/>
  <c r="L114" i="86" s="1"/>
  <c r="I113" i="86"/>
  <c r="L113" i="86" s="1"/>
  <c r="I111" i="86"/>
  <c r="L111" i="86" s="1"/>
  <c r="G109" i="86"/>
  <c r="J109" i="86" s="1"/>
  <c r="H106" i="86"/>
  <c r="K106" i="86" s="1"/>
  <c r="H105" i="86"/>
  <c r="K105" i="86" s="1"/>
  <c r="G104" i="86"/>
  <c r="J104" i="86" s="1"/>
  <c r="I102" i="86"/>
  <c r="L102" i="86" s="1"/>
  <c r="H94" i="86"/>
  <c r="K94" i="86" s="1"/>
  <c r="H93" i="86"/>
  <c r="K93" i="86" s="1"/>
  <c r="G92" i="86"/>
  <c r="J92" i="86" s="1"/>
  <c r="G91" i="86"/>
  <c r="J91" i="86" s="1"/>
  <c r="G89" i="86"/>
  <c r="J89" i="86" s="1"/>
  <c r="I87" i="86"/>
  <c r="L87" i="86" s="1"/>
  <c r="I86" i="86"/>
  <c r="L86" i="86" s="1"/>
  <c r="I85" i="86"/>
  <c r="L85" i="86" s="1"/>
  <c r="G84" i="86"/>
  <c r="J84" i="86" s="1"/>
  <c r="G81" i="86"/>
  <c r="J81" i="86" s="1"/>
  <c r="I80" i="86"/>
  <c r="L80" i="86" s="1"/>
  <c r="H78" i="86"/>
  <c r="K78" i="86" s="1"/>
  <c r="H77" i="86"/>
  <c r="K77" i="86" s="1"/>
  <c r="I75" i="86"/>
  <c r="L75" i="86" s="1"/>
  <c r="I74" i="86"/>
  <c r="L74" i="86" s="1"/>
  <c r="I73" i="86"/>
  <c r="L73" i="86" s="1"/>
  <c r="G72" i="86"/>
  <c r="J72" i="86" s="1"/>
  <c r="G69" i="86"/>
  <c r="J69" i="86" s="1"/>
  <c r="I68" i="86"/>
  <c r="L68" i="86" s="1"/>
  <c r="H67" i="86"/>
  <c r="K67" i="86" s="1"/>
  <c r="H66" i="86"/>
  <c r="K66" i="86" s="1"/>
  <c r="H65" i="86"/>
  <c r="K65" i="86" s="1"/>
  <c r="G124" i="86"/>
  <c r="J124" i="86" s="1"/>
  <c r="I121" i="86"/>
  <c r="L121" i="86" s="1"/>
  <c r="I112" i="86"/>
  <c r="L112" i="86" s="1"/>
  <c r="G111" i="86"/>
  <c r="J111" i="86" s="1"/>
  <c r="I110" i="86"/>
  <c r="L110" i="86" s="1"/>
  <c r="H109" i="86"/>
  <c r="K109" i="86" s="1"/>
  <c r="I108" i="86"/>
  <c r="L108" i="86" s="1"/>
  <c r="H107" i="86"/>
  <c r="K107" i="86" s="1"/>
  <c r="G105" i="86"/>
  <c r="J105" i="86" s="1"/>
  <c r="I104" i="86"/>
  <c r="L104" i="86" s="1"/>
  <c r="G102" i="86"/>
  <c r="J102" i="86" s="1"/>
  <c r="H98" i="86"/>
  <c r="K98" i="86" s="1"/>
  <c r="I93" i="86"/>
  <c r="L93" i="86" s="1"/>
  <c r="H91" i="86"/>
  <c r="K91" i="86" s="1"/>
  <c r="I90" i="86"/>
  <c r="L90" i="86" s="1"/>
  <c r="I89" i="86"/>
  <c r="L89" i="86" s="1"/>
  <c r="H87" i="86"/>
  <c r="K87" i="86" s="1"/>
  <c r="G86" i="86"/>
  <c r="H84" i="86"/>
  <c r="K84" i="86" s="1"/>
  <c r="I83" i="86"/>
  <c r="L83" i="86" s="1"/>
  <c r="G80" i="86"/>
  <c r="J80" i="86" s="1"/>
  <c r="G78" i="86"/>
  <c r="J78" i="86" s="1"/>
  <c r="H75" i="86"/>
  <c r="K75" i="86" s="1"/>
  <c r="G74" i="86"/>
  <c r="H72" i="86"/>
  <c r="K72" i="86" s="1"/>
  <c r="I71" i="86"/>
  <c r="L71" i="86" s="1"/>
  <c r="H70" i="86"/>
  <c r="K70" i="86" s="1"/>
  <c r="H69" i="86"/>
  <c r="K69" i="86" s="1"/>
  <c r="H68" i="86"/>
  <c r="K68" i="86" s="1"/>
  <c r="I66" i="86"/>
  <c r="L66" i="86" s="1"/>
  <c r="H64" i="86"/>
  <c r="K64" i="86" s="1"/>
  <c r="G63" i="86"/>
  <c r="G62" i="86"/>
  <c r="H61" i="86"/>
  <c r="K61" i="86" s="1"/>
  <c r="I59" i="86"/>
  <c r="L59" i="86" s="1"/>
  <c r="I58" i="86"/>
  <c r="L58" i="86" s="1"/>
  <c r="H56" i="86"/>
  <c r="K56" i="86" s="1"/>
  <c r="G55" i="86"/>
  <c r="G54" i="86"/>
  <c r="G53" i="86"/>
  <c r="J53" i="86" s="1"/>
  <c r="I52" i="86"/>
  <c r="L52" i="86" s="1"/>
  <c r="H51" i="86"/>
  <c r="K51" i="86" s="1"/>
  <c r="H50" i="86"/>
  <c r="K50" i="86" s="1"/>
  <c r="I49" i="86"/>
  <c r="L49" i="86" s="1"/>
  <c r="G48" i="86"/>
  <c r="J48" i="86" s="1"/>
  <c r="H125" i="86"/>
  <c r="K125" i="86" s="1"/>
  <c r="H113" i="86"/>
  <c r="K113" i="86" s="1"/>
  <c r="H112" i="86"/>
  <c r="K112" i="86" s="1"/>
  <c r="G110" i="86"/>
  <c r="H108" i="86"/>
  <c r="K108" i="86" s="1"/>
  <c r="G107" i="86"/>
  <c r="J107" i="86" s="1"/>
  <c r="I106" i="86"/>
  <c r="L106" i="86" s="1"/>
  <c r="H104" i="86"/>
  <c r="K104" i="86" s="1"/>
  <c r="G98" i="86"/>
  <c r="J98" i="86" s="1"/>
  <c r="G93" i="86"/>
  <c r="I92" i="86"/>
  <c r="L92" i="86" s="1"/>
  <c r="H90" i="86"/>
  <c r="K90" i="86" s="1"/>
  <c r="H89" i="86"/>
  <c r="K89" i="86" s="1"/>
  <c r="G87" i="86"/>
  <c r="H83" i="86"/>
  <c r="K83" i="86" s="1"/>
  <c r="H82" i="86"/>
  <c r="K82" i="86" s="1"/>
  <c r="I77" i="86"/>
  <c r="L77" i="86" s="1"/>
  <c r="I76" i="86"/>
  <c r="L76" i="86" s="1"/>
  <c r="G75" i="86"/>
  <c r="H71" i="86"/>
  <c r="K71" i="86" s="1"/>
  <c r="G70" i="86"/>
  <c r="J70" i="86" s="1"/>
  <c r="G68" i="86"/>
  <c r="J68" i="86" s="1"/>
  <c r="G66" i="86"/>
  <c r="G64" i="86"/>
  <c r="J64" i="86" s="1"/>
  <c r="G61" i="86"/>
  <c r="J61" i="86" s="1"/>
  <c r="I60" i="86"/>
  <c r="L60" i="86" s="1"/>
  <c r="H59" i="86"/>
  <c r="K59" i="86" s="1"/>
  <c r="H58" i="86"/>
  <c r="K58" i="86" s="1"/>
  <c r="I57" i="86"/>
  <c r="L57" i="86" s="1"/>
  <c r="G56" i="86"/>
  <c r="J56" i="86" s="1"/>
  <c r="I126" i="86"/>
  <c r="L126" i="86" s="1"/>
  <c r="G118" i="86"/>
  <c r="J118" i="86" s="1"/>
  <c r="H117" i="86"/>
  <c r="K117" i="86" s="1"/>
  <c r="H114" i="86"/>
  <c r="K114" i="86" s="1"/>
  <c r="G112" i="86"/>
  <c r="G108" i="86"/>
  <c r="J108" i="86" s="1"/>
  <c r="G106" i="86"/>
  <c r="J106" i="86" s="1"/>
  <c r="I94" i="86"/>
  <c r="L94" i="86" s="1"/>
  <c r="H92" i="86"/>
  <c r="K92" i="86" s="1"/>
  <c r="G90" i="86"/>
  <c r="J90" i="86" s="1"/>
  <c r="H85" i="86"/>
  <c r="K85" i="86" s="1"/>
  <c r="G83" i="86"/>
  <c r="J83" i="86" s="1"/>
  <c r="I81" i="86"/>
  <c r="L81" i="86" s="1"/>
  <c r="G77" i="86"/>
  <c r="J77" i="86" s="1"/>
  <c r="H76" i="86"/>
  <c r="K76" i="86" s="1"/>
  <c r="H73" i="86"/>
  <c r="K73" i="86" s="1"/>
  <c r="G71" i="86"/>
  <c r="I67" i="86"/>
  <c r="L67" i="86" s="1"/>
  <c r="I65" i="86"/>
  <c r="L65" i="86" s="1"/>
  <c r="I63" i="86"/>
  <c r="L63" i="86" s="1"/>
  <c r="I62" i="86"/>
  <c r="L62" i="86" s="1"/>
  <c r="H60" i="86"/>
  <c r="K60" i="86" s="1"/>
  <c r="G59" i="86"/>
  <c r="G58" i="86"/>
  <c r="H57" i="86"/>
  <c r="K57" i="86" s="1"/>
  <c r="I55" i="86"/>
  <c r="L55" i="86" s="1"/>
  <c r="I54" i="86"/>
  <c r="L54" i="86" s="1"/>
  <c r="I53" i="86"/>
  <c r="L53" i="86" s="1"/>
  <c r="G52" i="86"/>
  <c r="J52" i="86" s="1"/>
  <c r="G115" i="86"/>
  <c r="I105" i="86"/>
  <c r="L105" i="86" s="1"/>
  <c r="I84" i="86"/>
  <c r="L84" i="86" s="1"/>
  <c r="H80" i="86"/>
  <c r="K80" i="86" s="1"/>
  <c r="G76" i="86"/>
  <c r="J76" i="86" s="1"/>
  <c r="G67" i="86"/>
  <c r="J67" i="86" s="1"/>
  <c r="H63" i="86"/>
  <c r="K63" i="86" s="1"/>
  <c r="H62" i="86"/>
  <c r="K62" i="86" s="1"/>
  <c r="I61" i="86"/>
  <c r="L61" i="86" s="1"/>
  <c r="I56" i="86"/>
  <c r="L56" i="86" s="1"/>
  <c r="H53" i="86"/>
  <c r="K53" i="86" s="1"/>
  <c r="H52" i="86"/>
  <c r="K52" i="86" s="1"/>
  <c r="I51" i="86"/>
  <c r="L51" i="86" s="1"/>
  <c r="H47" i="86"/>
  <c r="K47" i="86" s="1"/>
  <c r="H46" i="86"/>
  <c r="K46" i="86" s="1"/>
  <c r="I45" i="86"/>
  <c r="L45" i="86" s="1"/>
  <c r="G44" i="86"/>
  <c r="J44" i="86" s="1"/>
  <c r="H40" i="86"/>
  <c r="K40" i="86" s="1"/>
  <c r="G39" i="86"/>
  <c r="J39" i="86" s="1"/>
  <c r="G38" i="86"/>
  <c r="J38" i="86" s="1"/>
  <c r="H37" i="86"/>
  <c r="K37" i="86" s="1"/>
  <c r="I35" i="86"/>
  <c r="L35" i="86" s="1"/>
  <c r="I34" i="86"/>
  <c r="L34" i="86" s="1"/>
  <c r="H32" i="86"/>
  <c r="K32" i="86" s="1"/>
  <c r="G31" i="86"/>
  <c r="J31" i="86" s="1"/>
  <c r="G30" i="86"/>
  <c r="J30" i="86" s="1"/>
  <c r="H29" i="86"/>
  <c r="K29" i="86" s="1"/>
  <c r="I27" i="86"/>
  <c r="L27" i="86" s="1"/>
  <c r="I26" i="86"/>
  <c r="L26" i="86" s="1"/>
  <c r="I25" i="86"/>
  <c r="L25" i="86" s="1"/>
  <c r="G24" i="86"/>
  <c r="J24" i="86" s="1"/>
  <c r="H20" i="86"/>
  <c r="K20" i="86" s="1"/>
  <c r="G19" i="86"/>
  <c r="J19" i="86" s="1"/>
  <c r="G18" i="86"/>
  <c r="J18" i="86" s="1"/>
  <c r="I119" i="86"/>
  <c r="L119" i="86" s="1"/>
  <c r="I109" i="86"/>
  <c r="L109" i="86" s="1"/>
  <c r="H102" i="86"/>
  <c r="K102" i="86" s="1"/>
  <c r="H101" i="86"/>
  <c r="K101" i="86" s="1"/>
  <c r="H86" i="86"/>
  <c r="K86" i="86" s="1"/>
  <c r="G85" i="86"/>
  <c r="H81" i="86"/>
  <c r="K81" i="86" s="1"/>
  <c r="I72" i="86"/>
  <c r="L72" i="86" s="1"/>
  <c r="I64" i="86"/>
  <c r="L64" i="86" s="1"/>
  <c r="G57" i="86"/>
  <c r="G51" i="86"/>
  <c r="J51" i="86" s="1"/>
  <c r="H49" i="86"/>
  <c r="K49" i="86" s="1"/>
  <c r="G47" i="86"/>
  <c r="J47" i="86" s="1"/>
  <c r="G46" i="86"/>
  <c r="H45" i="86"/>
  <c r="K45" i="86" s="1"/>
  <c r="I42" i="86"/>
  <c r="L42" i="86" s="1"/>
  <c r="I41" i="86"/>
  <c r="L41" i="86" s="1"/>
  <c r="G40" i="86"/>
  <c r="J40" i="86" s="1"/>
  <c r="G37" i="86"/>
  <c r="I36" i="86"/>
  <c r="L36" i="86" s="1"/>
  <c r="H35" i="86"/>
  <c r="K35" i="86" s="1"/>
  <c r="H34" i="86"/>
  <c r="K34" i="86" s="1"/>
  <c r="I33" i="86"/>
  <c r="L33" i="86" s="1"/>
  <c r="G32" i="86"/>
  <c r="J32" i="86" s="1"/>
  <c r="G29" i="86"/>
  <c r="I28" i="86"/>
  <c r="L28" i="86" s="1"/>
  <c r="H27" i="86"/>
  <c r="K27" i="86" s="1"/>
  <c r="H26" i="86"/>
  <c r="K26" i="86" s="1"/>
  <c r="H25" i="86"/>
  <c r="K25" i="86" s="1"/>
  <c r="I21" i="86"/>
  <c r="L21" i="86" s="1"/>
  <c r="G20" i="86"/>
  <c r="J20" i="86" s="1"/>
  <c r="G127" i="86"/>
  <c r="H120" i="86"/>
  <c r="K120" i="86" s="1"/>
  <c r="G117" i="86"/>
  <c r="I98" i="86"/>
  <c r="L98" i="86" s="1"/>
  <c r="G94" i="86"/>
  <c r="J94" i="86" s="1"/>
  <c r="I91" i="86"/>
  <c r="L91" i="86" s="1"/>
  <c r="I78" i="86"/>
  <c r="L78" i="86" s="1"/>
  <c r="H74" i="86"/>
  <c r="K74" i="86" s="1"/>
  <c r="G73" i="86"/>
  <c r="I69" i="86"/>
  <c r="L69" i="86" s="1"/>
  <c r="G65" i="86"/>
  <c r="I50" i="86"/>
  <c r="L50" i="86" s="1"/>
  <c r="G49" i="86"/>
  <c r="I48" i="86"/>
  <c r="L48" i="86" s="1"/>
  <c r="G45" i="86"/>
  <c r="J45" i="86" s="1"/>
  <c r="I44" i="86"/>
  <c r="L44" i="86" s="1"/>
  <c r="H42" i="86"/>
  <c r="K42" i="86" s="1"/>
  <c r="H41" i="86"/>
  <c r="K41" i="86" s="1"/>
  <c r="I39" i="86"/>
  <c r="L39" i="86" s="1"/>
  <c r="I38" i="86"/>
  <c r="L38" i="86" s="1"/>
  <c r="H36" i="86"/>
  <c r="K36" i="86" s="1"/>
  <c r="G35" i="86"/>
  <c r="G34" i="86"/>
  <c r="H33" i="86"/>
  <c r="K33" i="86" s="1"/>
  <c r="I31" i="86"/>
  <c r="L31" i="86" s="1"/>
  <c r="I30" i="86"/>
  <c r="L30" i="86" s="1"/>
  <c r="H28" i="86"/>
  <c r="K28" i="86" s="1"/>
  <c r="G27" i="86"/>
  <c r="J27" i="86" s="1"/>
  <c r="G26" i="86"/>
  <c r="G25" i="86"/>
  <c r="I24" i="86"/>
  <c r="L24" i="86" s="1"/>
  <c r="H23" i="86"/>
  <c r="K23" i="86" s="1"/>
  <c r="H21" i="86"/>
  <c r="K21" i="86" s="1"/>
  <c r="H123" i="86"/>
  <c r="K123" i="86" s="1"/>
  <c r="G114" i="86"/>
  <c r="J114" i="86" s="1"/>
  <c r="H111" i="86"/>
  <c r="K111" i="86" s="1"/>
  <c r="I107" i="86"/>
  <c r="L107" i="86" s="1"/>
  <c r="I70" i="86"/>
  <c r="L70" i="86" s="1"/>
  <c r="G60" i="86"/>
  <c r="H55" i="86"/>
  <c r="K55" i="86" s="1"/>
  <c r="H54" i="86"/>
  <c r="K54" i="86" s="1"/>
  <c r="G50" i="86"/>
  <c r="J50" i="86" s="1"/>
  <c r="H48" i="86"/>
  <c r="K48" i="86" s="1"/>
  <c r="I47" i="86"/>
  <c r="L47" i="86" s="1"/>
  <c r="I46" i="86"/>
  <c r="L46" i="86" s="1"/>
  <c r="H44" i="86"/>
  <c r="K44" i="86" s="1"/>
  <c r="G42" i="86"/>
  <c r="J42" i="86" s="1"/>
  <c r="G41" i="86"/>
  <c r="J41" i="86" s="1"/>
  <c r="I40" i="86"/>
  <c r="L40" i="86" s="1"/>
  <c r="H39" i="86"/>
  <c r="K39" i="86" s="1"/>
  <c r="H38" i="86"/>
  <c r="K38" i="86" s="1"/>
  <c r="I37" i="86"/>
  <c r="L37" i="86" s="1"/>
  <c r="G36" i="86"/>
  <c r="G33" i="86"/>
  <c r="I32" i="86"/>
  <c r="L32" i="86" s="1"/>
  <c r="H31" i="86"/>
  <c r="K31" i="86" s="1"/>
  <c r="H30" i="86"/>
  <c r="K30" i="86" s="1"/>
  <c r="I29" i="86"/>
  <c r="L29" i="86" s="1"/>
  <c r="G28" i="86"/>
  <c r="J28" i="86" s="1"/>
  <c r="H24" i="86"/>
  <c r="K24" i="86" s="1"/>
  <c r="G21" i="86"/>
  <c r="J21" i="86" s="1"/>
  <c r="I20" i="86"/>
  <c r="L20" i="86" s="1"/>
  <c r="H19" i="86"/>
  <c r="K19" i="86" s="1"/>
  <c r="H18" i="86"/>
  <c r="K18" i="86" s="1"/>
  <c r="H17" i="86"/>
  <c r="K17" i="86" s="1"/>
  <c r="I15" i="86"/>
  <c r="L15" i="86" s="1"/>
  <c r="I14" i="86"/>
  <c r="L14" i="86" s="1"/>
  <c r="I13" i="86"/>
  <c r="L13" i="86" s="1"/>
  <c r="G12" i="86"/>
  <c r="J12" i="86" s="1"/>
  <c r="I18" i="86"/>
  <c r="L18" i="86" s="1"/>
  <c r="H15" i="86"/>
  <c r="K15" i="86" s="1"/>
  <c r="G14" i="86"/>
  <c r="H12" i="86"/>
  <c r="K12" i="86" s="1"/>
  <c r="H8" i="86"/>
  <c r="K8" i="86" s="1"/>
  <c r="G7" i="86"/>
  <c r="G5" i="86"/>
  <c r="J5" i="86" s="1"/>
  <c r="I4" i="86"/>
  <c r="L4" i="86" s="1"/>
  <c r="H3" i="86"/>
  <c r="K3" i="86" s="1"/>
  <c r="I2" i="86"/>
  <c r="L2" i="86" s="1"/>
  <c r="I19" i="86"/>
  <c r="L19" i="86" s="1"/>
  <c r="I17" i="86"/>
  <c r="L17" i="86" s="1"/>
  <c r="I16" i="86"/>
  <c r="L16" i="86" s="1"/>
  <c r="G15" i="86"/>
  <c r="I11" i="86"/>
  <c r="L11" i="86" s="1"/>
  <c r="I10" i="86"/>
  <c r="L10" i="86" s="1"/>
  <c r="I9" i="86"/>
  <c r="L9" i="86" s="1"/>
  <c r="G8" i="86"/>
  <c r="J8" i="86" s="1"/>
  <c r="H4" i="86"/>
  <c r="K4" i="86" s="1"/>
  <c r="G3" i="86"/>
  <c r="J3" i="86" s="1"/>
  <c r="G17" i="86"/>
  <c r="J17" i="86" s="1"/>
  <c r="H16" i="86"/>
  <c r="K16" i="86" s="1"/>
  <c r="H11" i="86"/>
  <c r="K11" i="86" s="1"/>
  <c r="H10" i="86"/>
  <c r="K10" i="86" s="1"/>
  <c r="H9" i="86"/>
  <c r="K9" i="86" s="1"/>
  <c r="I7" i="86"/>
  <c r="L7" i="86" s="1"/>
  <c r="I5" i="86"/>
  <c r="L5" i="86" s="1"/>
  <c r="G4" i="86"/>
  <c r="J4" i="86" s="1"/>
  <c r="G2" i="86"/>
  <c r="G16" i="86"/>
  <c r="J16" i="86" s="1"/>
  <c r="H14" i="86"/>
  <c r="K14" i="86" s="1"/>
  <c r="I12" i="86"/>
  <c r="L12" i="86" s="1"/>
  <c r="G11" i="86"/>
  <c r="J11" i="86" s="1"/>
  <c r="G10" i="86"/>
  <c r="J10" i="86" s="1"/>
  <c r="G9" i="86"/>
  <c r="J9" i="86" s="1"/>
  <c r="I8" i="86"/>
  <c r="L8" i="86" s="1"/>
  <c r="H7" i="86"/>
  <c r="K7" i="86" s="1"/>
  <c r="H5" i="86"/>
  <c r="K5" i="86" s="1"/>
  <c r="I3" i="86"/>
  <c r="L3" i="86" s="1"/>
  <c r="L154" i="86"/>
  <c r="F30" i="62" l="1"/>
  <c r="D35" i="62" s="1"/>
  <c r="M172" i="19"/>
  <c r="H16" i="62"/>
  <c r="H17" i="62"/>
  <c r="H172" i="19"/>
  <c r="CF17" i="62"/>
  <c r="CD17" i="62" s="1"/>
  <c r="S172" i="19"/>
  <c r="H13" i="62"/>
  <c r="G13" i="62"/>
  <c r="H19" i="62"/>
  <c r="CE24" i="62" s="1"/>
  <c r="G29" i="62"/>
  <c r="H12" i="62"/>
  <c r="CF19" i="62" s="1"/>
  <c r="CD19" i="62" s="1"/>
  <c r="H23" i="62"/>
  <c r="H15" i="62"/>
  <c r="CE20" i="62" s="1"/>
  <c r="G15" i="62"/>
  <c r="G23" i="62"/>
  <c r="G26" i="62"/>
  <c r="G14" i="62"/>
  <c r="G20" i="62"/>
  <c r="G10" i="62"/>
  <c r="H29" i="62"/>
  <c r="H26" i="62"/>
  <c r="CF31" i="62" s="1"/>
  <c r="CD31" i="62" s="1"/>
  <c r="H11" i="62"/>
  <c r="CF18" i="62" s="1"/>
  <c r="CD18" i="62" s="1"/>
  <c r="H24" i="62"/>
  <c r="CF29" i="62" s="1"/>
  <c r="CD29" i="62" s="1"/>
  <c r="G12" i="62"/>
  <c r="G25" i="62"/>
  <c r="H25" i="62"/>
  <c r="H20" i="62"/>
  <c r="CE25" i="62" s="1"/>
  <c r="G24" i="62"/>
  <c r="H18" i="62"/>
  <c r="CE23" i="62" s="1"/>
  <c r="H14" i="62"/>
  <c r="H21" i="62"/>
  <c r="CE26" i="62" s="1"/>
  <c r="G22" i="62"/>
  <c r="H22" i="62"/>
  <c r="CF27" i="62" s="1"/>
  <c r="CD27" i="62" s="1"/>
  <c r="G16" i="62"/>
  <c r="G18" i="62"/>
  <c r="G19" i="62"/>
  <c r="G17" i="62"/>
  <c r="G21" i="62"/>
  <c r="G11" i="62"/>
  <c r="U172" i="19"/>
  <c r="W172" i="19"/>
  <c r="E30" i="62"/>
  <c r="T172" i="19"/>
  <c r="V172" i="19"/>
  <c r="M73" i="86"/>
  <c r="M154" i="86"/>
  <c r="J154" i="86"/>
  <c r="M112" i="86"/>
  <c r="M122" i="86"/>
  <c r="G139" i="86"/>
  <c r="J139" i="86" s="1"/>
  <c r="M71" i="86"/>
  <c r="H139" i="86"/>
  <c r="K139" i="86" s="1"/>
  <c r="G97" i="86"/>
  <c r="J97" i="86" s="1"/>
  <c r="M43" i="86"/>
  <c r="M34" i="86"/>
  <c r="M128" i="86"/>
  <c r="I97" i="86"/>
  <c r="L97" i="86" s="1"/>
  <c r="M4" i="86"/>
  <c r="M28" i="86"/>
  <c r="M35" i="86"/>
  <c r="M65" i="86"/>
  <c r="M83" i="86"/>
  <c r="M116" i="86"/>
  <c r="H99" i="86"/>
  <c r="K99" i="86" s="1"/>
  <c r="J122" i="86"/>
  <c r="J73" i="86"/>
  <c r="J71" i="86"/>
  <c r="J34" i="86"/>
  <c r="M22" i="86"/>
  <c r="M110" i="86"/>
  <c r="M156" i="86"/>
  <c r="M164" i="86"/>
  <c r="H97" i="86"/>
  <c r="K97" i="86" s="1"/>
  <c r="G99" i="86"/>
  <c r="J99" i="86" s="1"/>
  <c r="AD26" i="66"/>
  <c r="AB26" i="66"/>
  <c r="AC26" i="66"/>
  <c r="AA26" i="66"/>
  <c r="AG26" i="66"/>
  <c r="Z26" i="66" s="1"/>
  <c r="M95" i="86"/>
  <c r="J95" i="86"/>
  <c r="M25" i="86"/>
  <c r="J25" i="86"/>
  <c r="J35" i="86"/>
  <c r="M26" i="86"/>
  <c r="J26" i="86"/>
  <c r="M162" i="86"/>
  <c r="J112" i="86"/>
  <c r="J162" i="86"/>
  <c r="J110" i="86"/>
  <c r="J65" i="86"/>
  <c r="M108" i="86"/>
  <c r="M118" i="86"/>
  <c r="H100" i="86"/>
  <c r="K100" i="86" s="1"/>
  <c r="M134" i="86"/>
  <c r="I139" i="86"/>
  <c r="L139" i="86" s="1"/>
  <c r="I99" i="86"/>
  <c r="L99" i="86" s="1"/>
  <c r="M66" i="86"/>
  <c r="J66" i="86"/>
  <c r="M167" i="86"/>
  <c r="J167" i="86"/>
  <c r="M33" i="86"/>
  <c r="J33" i="86"/>
  <c r="M60" i="86"/>
  <c r="J60" i="86"/>
  <c r="J116" i="86"/>
  <c r="J100" i="86"/>
  <c r="J43" i="86"/>
  <c r="M36" i="86"/>
  <c r="J36" i="86"/>
  <c r="M57" i="86"/>
  <c r="J57" i="86"/>
  <c r="M85" i="86"/>
  <c r="J85" i="86"/>
  <c r="M79" i="86"/>
  <c r="H88" i="86"/>
  <c r="K88" i="86" s="1"/>
  <c r="G148" i="86"/>
  <c r="J165" i="86"/>
  <c r="I165" i="86"/>
  <c r="L165" i="86" s="1"/>
  <c r="M9" i="86"/>
  <c r="M13" i="86"/>
  <c r="M21" i="86"/>
  <c r="M42" i="86"/>
  <c r="M51" i="86"/>
  <c r="M67" i="86"/>
  <c r="M106" i="86"/>
  <c r="M140" i="86"/>
  <c r="M146" i="86"/>
  <c r="M41" i="86"/>
  <c r="M114" i="86"/>
  <c r="M27" i="86"/>
  <c r="M94" i="86"/>
  <c r="M90" i="86"/>
  <c r="M96" i="86"/>
  <c r="M68" i="86"/>
  <c r="M124" i="86"/>
  <c r="M129" i="86"/>
  <c r="M142" i="86"/>
  <c r="M168" i="86"/>
  <c r="M2" i="86"/>
  <c r="J2" i="86"/>
  <c r="M3" i="86"/>
  <c r="M49" i="86"/>
  <c r="J49" i="86"/>
  <c r="J37" i="86"/>
  <c r="M37" i="86"/>
  <c r="M24" i="86"/>
  <c r="M39" i="86"/>
  <c r="M58" i="86"/>
  <c r="J58" i="86"/>
  <c r="M56" i="86"/>
  <c r="M53" i="86"/>
  <c r="M63" i="86"/>
  <c r="J63" i="86"/>
  <c r="M74" i="86"/>
  <c r="J74" i="86"/>
  <c r="M105" i="86"/>
  <c r="M72" i="86"/>
  <c r="M81" i="86"/>
  <c r="M92" i="86"/>
  <c r="M104" i="86"/>
  <c r="M131" i="86"/>
  <c r="J131" i="86"/>
  <c r="M121" i="86"/>
  <c r="M132" i="86"/>
  <c r="M137" i="86"/>
  <c r="M160" i="86"/>
  <c r="M144" i="86"/>
  <c r="M149" i="86"/>
  <c r="M158" i="86"/>
  <c r="M5" i="86"/>
  <c r="M12" i="86"/>
  <c r="J127" i="86"/>
  <c r="M127" i="86"/>
  <c r="M40" i="86"/>
  <c r="M18" i="86"/>
  <c r="M30" i="86"/>
  <c r="M59" i="86"/>
  <c r="J59" i="86"/>
  <c r="M61" i="86"/>
  <c r="M70" i="86"/>
  <c r="M87" i="86"/>
  <c r="J87" i="86"/>
  <c r="M98" i="86"/>
  <c r="M107" i="86"/>
  <c r="J54" i="86"/>
  <c r="M54" i="86"/>
  <c r="M101" i="86"/>
  <c r="M111" i="86"/>
  <c r="M82" i="86"/>
  <c r="J82" i="86"/>
  <c r="M133" i="86"/>
  <c r="J133" i="86"/>
  <c r="M159" i="86"/>
  <c r="J159" i="86"/>
  <c r="M138" i="86"/>
  <c r="M150" i="86"/>
  <c r="M10" i="86"/>
  <c r="M17" i="86"/>
  <c r="M8" i="86"/>
  <c r="M15" i="86"/>
  <c r="J15" i="86"/>
  <c r="J6" i="86"/>
  <c r="M6" i="86"/>
  <c r="M14" i="86"/>
  <c r="J14" i="86"/>
  <c r="M45" i="86"/>
  <c r="M20" i="86"/>
  <c r="J29" i="86"/>
  <c r="M29" i="86"/>
  <c r="M46" i="86"/>
  <c r="J46" i="86"/>
  <c r="M19" i="86"/>
  <c r="M31" i="86"/>
  <c r="M44" i="86"/>
  <c r="M76" i="86"/>
  <c r="M115" i="86"/>
  <c r="J115" i="86"/>
  <c r="M77" i="86"/>
  <c r="M64" i="86"/>
  <c r="M93" i="86"/>
  <c r="J93" i="86"/>
  <c r="M55" i="86"/>
  <c r="J55" i="86"/>
  <c r="M78" i="86"/>
  <c r="M102" i="86"/>
  <c r="M84" i="86"/>
  <c r="M89" i="86"/>
  <c r="M151" i="86"/>
  <c r="J151" i="86"/>
  <c r="M161" i="86"/>
  <c r="J161" i="86"/>
  <c r="M113" i="86"/>
  <c r="M143" i="86"/>
  <c r="M123" i="86"/>
  <c r="M130" i="86"/>
  <c r="M155" i="86"/>
  <c r="M166" i="86"/>
  <c r="M11" i="86"/>
  <c r="M16" i="86"/>
  <c r="M7" i="86"/>
  <c r="J7" i="86"/>
  <c r="M23" i="86"/>
  <c r="M50" i="86"/>
  <c r="J117" i="86"/>
  <c r="M117" i="86"/>
  <c r="M32" i="86"/>
  <c r="M47" i="86"/>
  <c r="M38" i="86"/>
  <c r="M52" i="86"/>
  <c r="M75" i="86"/>
  <c r="J75" i="86"/>
  <c r="M48" i="86"/>
  <c r="J62" i="86"/>
  <c r="M62" i="86"/>
  <c r="M80" i="86"/>
  <c r="M86" i="86"/>
  <c r="J86" i="86"/>
  <c r="M69" i="86"/>
  <c r="M91" i="86"/>
  <c r="M103" i="86"/>
  <c r="M109" i="86"/>
  <c r="J141" i="86"/>
  <c r="M141" i="86"/>
  <c r="M153" i="86"/>
  <c r="J153" i="86"/>
  <c r="M119" i="86"/>
  <c r="M126" i="86"/>
  <c r="M135" i="86"/>
  <c r="M145" i="86"/>
  <c r="M152" i="86"/>
  <c r="M163" i="86"/>
  <c r="M120" i="86"/>
  <c r="M125" i="86"/>
  <c r="M136" i="86"/>
  <c r="M147" i="86"/>
  <c r="M157" i="86"/>
  <c r="CF24" i="62" l="1"/>
  <c r="CD24" i="62" s="1"/>
  <c r="CF30" i="62"/>
  <c r="CF28" i="62"/>
  <c r="CD28" i="62" s="1"/>
  <c r="CE30" i="62"/>
  <c r="CF25" i="62"/>
  <c r="CD25" i="62" s="1"/>
  <c r="CF20" i="62"/>
  <c r="CD20" i="62" s="1"/>
  <c r="CF22" i="62"/>
  <c r="CF26" i="62"/>
  <c r="CD26" i="62" s="1"/>
  <c r="CF23" i="62"/>
  <c r="CD23" i="62" s="1"/>
  <c r="CF21" i="62"/>
  <c r="H30" i="62"/>
  <c r="CE21" i="62"/>
  <c r="CE22" i="62"/>
  <c r="G30" i="62"/>
  <c r="M139" i="86"/>
  <c r="M97" i="86"/>
  <c r="M99" i="86"/>
  <c r="M165" i="86"/>
  <c r="M148" i="86"/>
  <c r="J148" i="86"/>
  <c r="M100" i="86"/>
  <c r="M88" i="86"/>
  <c r="CD30" i="62" l="1"/>
  <c r="CD21" i="62"/>
  <c r="CD22" i="62"/>
</calcChain>
</file>

<file path=xl/comments1.xml><?xml version="1.0" encoding="utf-8"?>
<comments xmlns="http://schemas.openxmlformats.org/spreadsheetml/2006/main">
  <authors>
    <author>Pia Jensen</author>
  </authors>
  <commentList>
    <comment ref="C27" authorId="0" shapeId="0">
      <text>
        <r>
          <rPr>
            <b/>
            <sz val="9"/>
            <color indexed="81"/>
            <rFont val="Tahoma"/>
            <family val="2"/>
          </rPr>
          <t>Pia Jensen:</t>
        </r>
        <r>
          <rPr>
            <sz val="9"/>
            <color indexed="81"/>
            <rFont val="Tahoma"/>
            <family val="2"/>
          </rPr>
          <t xml:space="preserve">
munin</t>
        </r>
      </text>
    </comment>
    <comment ref="D77" authorId="0" shapeId="0">
      <text>
        <r>
          <rPr>
            <b/>
            <sz val="9"/>
            <color indexed="81"/>
            <rFont val="Tahoma"/>
            <family val="2"/>
          </rPr>
          <t>Pia Jensen:</t>
        </r>
        <r>
          <rPr>
            <sz val="9"/>
            <color indexed="81"/>
            <rFont val="Tahoma"/>
            <family val="2"/>
          </rPr>
          <t xml:space="preserve">
reopened - 19 shelters in new land</t>
        </r>
      </text>
    </comment>
    <comment ref="D168" authorId="0" shapeId="0">
      <text>
        <r>
          <rPr>
            <b/>
            <sz val="9"/>
            <color indexed="81"/>
            <rFont val="Tahoma"/>
            <family val="2"/>
          </rPr>
          <t>Pia Jensen:</t>
        </r>
        <r>
          <rPr>
            <sz val="9"/>
            <color indexed="81"/>
            <rFont val="Tahoma"/>
            <family val="2"/>
          </rPr>
          <t xml:space="preserve">
Moved to Sha it yan, discussions on changing name
</t>
        </r>
      </text>
    </comment>
    <comment ref="B169" authorId="0" shapeId="0">
      <text>
        <r>
          <rPr>
            <b/>
            <sz val="9"/>
            <color indexed="81"/>
            <rFont val="Tahoma"/>
            <family val="2"/>
          </rPr>
          <t>Pia Jensen:</t>
        </r>
        <r>
          <rPr>
            <sz val="9"/>
            <color indexed="81"/>
            <rFont val="Tahoma"/>
            <family val="2"/>
          </rPr>
          <t xml:space="preserve">
covered by KBC
</t>
        </r>
      </text>
    </comment>
  </commentList>
</comments>
</file>

<file path=xl/comments2.xml><?xml version="1.0" encoding="utf-8"?>
<comments xmlns="http://schemas.openxmlformats.org/spreadsheetml/2006/main">
  <authors>
    <author>Pia Jensen</author>
  </authors>
  <commentList>
    <comment ref="Y6" authorId="0" shapeId="0">
      <text>
        <r>
          <rPr>
            <b/>
            <sz val="9"/>
            <color indexed="81"/>
            <rFont val="Tahoma"/>
            <family val="2"/>
          </rPr>
          <t>Pia Jensen:</t>
        </r>
        <r>
          <rPr>
            <sz val="9"/>
            <color indexed="81"/>
            <rFont val="Tahoma"/>
            <family val="2"/>
          </rPr>
          <t xml:space="preserve">
possibility to distribute cash 2100 MMK/person</t>
        </r>
      </text>
    </comment>
  </commentList>
</comments>
</file>

<file path=xl/comments3.xml><?xml version="1.0" encoding="utf-8"?>
<comments xmlns="http://schemas.openxmlformats.org/spreadsheetml/2006/main">
  <authors>
    <author>Pia Jensen</author>
  </authors>
  <commentList>
    <comment ref="G17" authorId="0" shapeId="0">
      <text>
        <r>
          <rPr>
            <b/>
            <sz val="9"/>
            <color indexed="81"/>
            <rFont val="Tahoma"/>
            <family val="2"/>
          </rPr>
          <t>Pia Jensen:</t>
        </r>
        <r>
          <rPr>
            <sz val="9"/>
            <color indexed="81"/>
            <rFont val="Tahoma"/>
            <family val="2"/>
          </rPr>
          <t xml:space="preserve">
response to natural disaster - no displacement, so not added as IDP location</t>
        </r>
      </text>
    </comment>
  </commentList>
</comments>
</file>

<file path=xl/sharedStrings.xml><?xml version="1.0" encoding="utf-8"?>
<sst xmlns="http://schemas.openxmlformats.org/spreadsheetml/2006/main" count="13436" uniqueCount="1769">
  <si>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</si>
  <si>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</si>
  <si>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</si>
  <si>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</si>
  <si>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</si>
  <si>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</si>
  <si>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</si>
  <si>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</si>
  <si>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</si>
  <si>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</si>
  <si>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</si>
  <si>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</si>
  <si>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</si>
  <si>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</si>
  <si>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</si>
  <si>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</si>
  <si>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</si>
  <si>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</si>
  <si>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</si>
  <si>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</si>
  <si>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</si>
  <si>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</si>
  <si>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</si>
  <si>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</si>
  <si>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</si>
  <si>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</si>
  <si>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</si>
  <si>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</si>
  <si>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</si>
  <si>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</si>
  <si>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</si>
  <si>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</si>
  <si>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</si>
  <si>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</si>
  <si>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</si>
  <si>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</si>
  <si>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</si>
  <si>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</si>
  <si>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</si>
  <si>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</si>
  <si>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</si>
  <si>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</si>
  <si>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</si>
  <si>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</si>
  <si>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</si>
  <si>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</si>
  <si>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</si>
  <si>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</si>
  <si>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</si>
  <si>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</si>
  <si>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</si>
  <si>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</si>
  <si>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</si>
  <si>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</si>
  <si>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</si>
  <si>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</si>
  <si>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</si>
  <si>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</si>
  <si>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</si>
  <si>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</si>
  <si>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</si>
  <si>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</si>
  <si>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</si>
  <si>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</si>
  <si>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</si>
  <si>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</si>
  <si>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</si>
  <si>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</si>
  <si>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</si>
  <si>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</si>
  <si>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</si>
  <si>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</si>
  <si>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</si>
  <si>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</si>
  <si>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</si>
  <si>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</si>
  <si>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</si>
  <si>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</si>
  <si>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</si>
  <si>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</si>
  <si>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</si>
  <si>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</si>
  <si>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</si>
  <si>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</si>
  <si>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</si>
  <si>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</si>
  <si>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</si>
  <si>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</si>
  <si>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</si>
  <si>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</si>
  <si>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</si>
  <si>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</si>
  <si>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</si>
  <si>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</si>
  <si>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</si>
  <si>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</si>
  <si>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</si>
  <si>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</si>
  <si>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</si>
  <si>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</si>
  <si>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</si>
  <si>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</si>
  <si>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</si>
  <si>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</si>
  <si>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</si>
  <si>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</si>
  <si>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</si>
  <si>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</si>
  <si>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</si>
  <si>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</si>
  <si>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</si>
  <si>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</si>
  <si>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</si>
  <si>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</si>
  <si>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</si>
  <si>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</si>
  <si>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</si>
  <si>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</si>
  <si>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</si>
  <si>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</si>
  <si>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</si>
  <si>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</si>
  <si>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</si>
  <si>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</si>
  <si>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</si>
  <si>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</si>
  <si>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</si>
  <si>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</si>
  <si>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</si>
  <si>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</si>
  <si>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</si>
  <si>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</si>
  <si>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</si>
  <si>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</si>
  <si>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</si>
  <si>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</si>
  <si>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</si>
  <si>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</si>
  <si>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</si>
  <si>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</si>
  <si>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</si>
  <si>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</si>
  <si>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</si>
  <si>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</si>
  <si>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</si>
  <si>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</si>
  <si>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</si>
  <si>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</si>
  <si>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</si>
  <si>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</si>
  <si>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</si>
  <si>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</si>
  <si>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</si>
  <si>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</si>
  <si>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</si>
  <si>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</si>
  <si>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</si>
  <si>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</si>
  <si>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</si>
  <si>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</si>
  <si>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</si>
  <si>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</si>
  <si>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</si>
  <si>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</si>
  <si>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</si>
  <si>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</si>
  <si>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</si>
  <si>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</si>
  <si>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</si>
  <si>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</si>
  <si>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</si>
  <si>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</si>
  <si>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</si>
  <si>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</si>
  <si>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</si>
  <si>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</si>
  <si>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</si>
  <si>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</si>
  <si>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</si>
  <si>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</si>
  <si>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</si>
  <si>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</si>
  <si>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</si>
  <si>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</si>
  <si>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</si>
  <si>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</si>
  <si>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</si>
  <si>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</si>
  <si>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</si>
  <si>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</si>
  <si>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</si>
  <si>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</si>
  <si>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</si>
  <si>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</si>
  <si>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</si>
  <si>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</si>
  <si>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</si>
  <si>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</si>
  <si>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</si>
  <si>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</si>
  <si>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</si>
  <si>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</si>
  <si>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</si>
  <si>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</si>
  <si>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</si>
  <si>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</si>
  <si>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</si>
  <si>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</si>
  <si>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</si>
  <si>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</si>
  <si>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</si>
  <si>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</si>
  <si>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</si>
  <si>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</si>
  <si>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</si>
  <si>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</si>
  <si>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</si>
  <si>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</si>
  <si>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</si>
  <si>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</si>
  <si>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</si>
  <si>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</si>
  <si>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</si>
  <si>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</si>
  <si>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</si>
  <si>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</si>
  <si>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</si>
  <si>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</si>
  <si>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</si>
  <si>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</si>
  <si>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</si>
  <si>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</si>
  <si>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</si>
  <si>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</si>
  <si>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</si>
  <si>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</si>
  <si>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</si>
  <si>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</si>
  <si>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</si>
  <si>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</si>
  <si>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</si>
  <si>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</si>
  <si>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</si>
  <si>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</si>
  <si>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</si>
  <si>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</si>
  <si>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</si>
  <si>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</si>
  <si>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</si>
  <si>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</si>
  <si>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</si>
  <si>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</si>
  <si>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</si>
  <si>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</si>
  <si>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</si>
  <si>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</si>
  <si>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</si>
  <si>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</si>
  <si>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</si>
  <si>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</si>
  <si>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</si>
  <si>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</si>
  <si>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</si>
  <si>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</si>
  <si>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</si>
  <si>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</si>
  <si>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</si>
  <si>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</si>
  <si>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</si>
  <si>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</si>
  <si>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</si>
  <si>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</si>
  <si>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</si>
  <si>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</si>
  <si>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</si>
  <si>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</si>
  <si>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</si>
  <si>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</si>
  <si>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</si>
  <si>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</si>
  <si>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</si>
  <si>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</si>
  <si>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</si>
  <si>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</si>
  <si>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</si>
  <si>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</si>
  <si>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</si>
  <si>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</si>
  <si>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</si>
  <si>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</si>
  <si>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</si>
  <si>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</si>
  <si>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</si>
  <si>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</si>
  <si>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</si>
  <si>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</si>
  <si>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</si>
  <si>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</si>
  <si>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</si>
  <si>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</si>
  <si>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</si>
  <si>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</si>
  <si>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</si>
  <si>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</si>
  <si>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</si>
  <si>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</si>
  <si>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</si>
  <si>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</si>
  <si>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</si>
  <si>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</si>
  <si>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</si>
  <si>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</si>
  <si>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</si>
  <si>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</si>
  <si>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</si>
  <si>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</si>
  <si>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</si>
  <si>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</si>
  <si>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</si>
  <si>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</si>
  <si>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</si>
  <si>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</si>
  <si>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</si>
  <si>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</si>
  <si>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</si>
  <si>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</si>
  <si>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</si>
  <si>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</si>
  <si>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</si>
  <si>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</si>
  <si>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</si>
  <si>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</si>
  <si>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</si>
  <si>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</si>
  <si>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</si>
  <si>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</si>
  <si>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</si>
  <si>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</si>
  <si>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</si>
  <si>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</si>
  <si>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</si>
  <si>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</si>
  <si>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</si>
  <si>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</si>
  <si>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</si>
  <si>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</si>
  <si>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</si>
  <si>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</si>
  <si>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</si>
  <si>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</si>
  <si>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</si>
  <si>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</si>
  <si>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</si>
  <si>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</si>
  <si>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</si>
  <si>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</si>
  <si>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</si>
  <si>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</si>
  <si>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</si>
  <si>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</si>
  <si>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</si>
  <si>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</si>
  <si>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</si>
  <si>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</si>
  <si>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</si>
  <si>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</si>
  <si>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</si>
  <si>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</si>
  <si>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</si>
  <si>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</si>
  <si>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</si>
  <si>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</si>
  <si>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</si>
  <si>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</si>
  <si>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</si>
  <si>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</si>
  <si>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</si>
  <si>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</si>
  <si>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</si>
  <si>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</si>
  <si>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</si>
  <si>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</si>
  <si>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</si>
  <si>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</si>
  <si>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</si>
  <si>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</si>
  <si>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</si>
  <si>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</si>
  <si>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</si>
  <si>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</si>
  <si>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</si>
  <si>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</si>
  <si>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</si>
  <si>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</si>
  <si>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</si>
  <si>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</si>
  <si>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</si>
  <si>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</si>
  <si>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</si>
  <si>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</si>
  <si>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</si>
  <si>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</si>
  <si>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</si>
  <si>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</si>
  <si>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</si>
  <si>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</si>
  <si>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</si>
  <si>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</si>
  <si>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</si>
  <si>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</si>
  <si>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</si>
  <si>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</si>
  <si>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</si>
  <si>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</si>
  <si>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</si>
  <si>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</si>
  <si>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</si>
  <si>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</si>
  <si>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</si>
  <si>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</si>
  <si>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</si>
  <si>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</si>
  <si>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</si>
  <si>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</si>
  <si>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</si>
  <si>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</si>
  <si>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</si>
  <si>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</si>
  <si>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</si>
  <si>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</si>
  <si>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</si>
  <si>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</si>
  <si>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</si>
  <si>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</si>
  <si>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</si>
  <si>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</si>
  <si>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</si>
  <si>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</si>
  <si>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</si>
  <si>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</si>
  <si>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</si>
  <si>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</si>
  <si>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</si>
  <si>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</si>
  <si>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</si>
  <si>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</si>
  <si>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</si>
  <si>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</si>
  <si>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</si>
  <si>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</si>
  <si>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</si>
  <si>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</si>
  <si>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</si>
  <si>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</si>
  <si>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</si>
  <si>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</si>
  <si>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</si>
  <si>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</si>
  <si>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</si>
  <si>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</si>
  <si>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</si>
  <si>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</si>
  <si>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</si>
  <si>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KMSS</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</si>
  <si>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</si>
  <si>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</si>
  <si>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</si>
  <si>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</si>
  <si>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</si>
  <si>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</si>
  <si>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</si>
  <si>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</si>
  <si>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</si>
  <si>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</si>
  <si>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</si>
  <si>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</si>
  <si>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</si>
  <si>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</si>
  <si>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</si>
  <si>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</si>
  <si>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</si>
  <si>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</si>
  <si>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</si>
  <si>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</si>
  <si>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</si>
  <si>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</si>
  <si>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</si>
  <si>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</si>
  <si>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</si>
  <si>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</si>
  <si>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</si>
  <si>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</si>
  <si>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</si>
  <si>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</si>
  <si>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</si>
  <si>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</si>
  <si>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</si>
  <si>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</si>
  <si>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</si>
  <si>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</si>
  <si>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</si>
  <si>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</si>
  <si>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</si>
  <si>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</si>
  <si>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</si>
  <si>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</si>
  <si>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</si>
  <si>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</si>
  <si>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</si>
  <si>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</si>
  <si>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</si>
  <si>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</si>
  <si>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</si>
  <si>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</si>
  <si>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</si>
  <si>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</si>
  <si>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</si>
  <si>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</si>
  <si>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</si>
  <si>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</si>
  <si>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</si>
  <si>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</si>
  <si>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</si>
  <si>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</si>
  <si>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</si>
  <si>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</si>
  <si>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</si>
  <si>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</si>
  <si>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</si>
  <si>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</si>
  <si>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</si>
  <si>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</si>
  <si>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</si>
  <si>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</si>
  <si>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</si>
  <si>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</si>
  <si>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</si>
  <si>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</si>
  <si>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</si>
  <si>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</si>
  <si>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</si>
  <si>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</si>
  <si>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</si>
  <si>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</si>
  <si>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</si>
  <si>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</si>
  <si>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</si>
  <si>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</si>
  <si>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</si>
  <si>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</si>
  <si>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</si>
  <si>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</si>
  <si>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</si>
  <si>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</si>
  <si>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</si>
  <si>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</si>
  <si>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</si>
  <si>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</si>
  <si>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</si>
  <si>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</si>
  <si>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</si>
  <si>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</si>
  <si>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</si>
  <si>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</si>
  <si>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</si>
  <si>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</si>
  <si>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</si>
  <si>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</si>
  <si>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</si>
  <si>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</si>
  <si>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</si>
  <si>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</si>
  <si>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</si>
  <si>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</si>
  <si>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</si>
  <si>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</si>
  <si>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</si>
  <si>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</si>
  <si>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</si>
  <si>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</si>
  <si>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</si>
  <si>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</si>
  <si>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</si>
  <si>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</si>
  <si>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</si>
  <si>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</si>
  <si>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</si>
  <si>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</si>
  <si>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</si>
  <si>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</si>
  <si>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</si>
  <si>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</si>
  <si>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</si>
  <si>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</si>
  <si>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</si>
  <si>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</si>
  <si>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</si>
  <si>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</si>
  <si>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</si>
  <si>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</si>
  <si>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</si>
  <si>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</si>
  <si>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</si>
  <si>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</si>
  <si>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</si>
  <si>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</si>
  <si>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</si>
  <si>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</si>
  <si>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</si>
  <si>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</si>
  <si>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</si>
  <si>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</si>
  <si>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</si>
  <si>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</si>
  <si>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</si>
  <si>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</si>
  <si>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</si>
  <si>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</si>
  <si>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</si>
  <si>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</si>
  <si>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</si>
  <si>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</si>
  <si>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</si>
  <si>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</si>
  <si>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</si>
  <si>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</si>
  <si>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</si>
  <si>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</si>
  <si>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</si>
  <si>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</si>
  <si>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</si>
  <si>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</si>
  <si>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</si>
  <si>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</si>
  <si>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</si>
  <si>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</si>
  <si>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</si>
  <si>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</si>
  <si>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</si>
  <si>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</si>
  <si>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</si>
  <si>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</si>
  <si>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</si>
  <si>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</si>
  <si>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</si>
  <si>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</si>
  <si>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</si>
  <si>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</si>
  <si>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</si>
  <si>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</si>
  <si>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</si>
  <si>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</si>
  <si>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</si>
  <si>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</si>
  <si>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</si>
  <si>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</si>
  <si>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</si>
  <si>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</si>
  <si>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</si>
  <si>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</si>
  <si>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</si>
  <si>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</si>
  <si>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</si>
  <si>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</si>
  <si>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</si>
  <si>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</si>
  <si>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</si>
  <si>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</si>
  <si>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</si>
  <si>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</si>
  <si>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</si>
  <si>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</si>
  <si>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</si>
  <si>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</si>
  <si>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</si>
  <si>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</si>
  <si>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</si>
  <si>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</si>
  <si>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</si>
  <si>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</si>
  <si>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</si>
  <si>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</si>
  <si>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</si>
  <si>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</si>
  <si>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</si>
  <si>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</si>
  <si>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</si>
  <si>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</si>
  <si>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</si>
  <si>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</si>
  <si>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</si>
  <si>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</si>
  <si>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</si>
  <si>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</si>
  <si>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</si>
  <si>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</si>
  <si>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</si>
  <si>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</si>
  <si>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</si>
  <si>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</si>
  <si>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</si>
  <si>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</si>
  <si>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</si>
  <si>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</si>
  <si>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</si>
  <si>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</si>
  <si>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</si>
  <si>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</si>
  <si>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</si>
  <si>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</si>
  <si>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</si>
  <si>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</si>
  <si>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</si>
  <si>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</si>
  <si>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</si>
  <si>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</si>
  <si>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</si>
  <si>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</si>
  <si>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</si>
  <si>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</si>
  <si>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</si>
  <si>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</si>
  <si>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</si>
  <si>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</si>
  <si>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</si>
  <si>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</si>
  <si>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</si>
  <si>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</si>
  <si>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</si>
  <si>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</si>
  <si>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</si>
  <si>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</si>
  <si>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</si>
  <si>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</si>
  <si>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</si>
  <si>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</si>
  <si>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</si>
  <si>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</si>
  <si>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</si>
  <si>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</si>
  <si>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</si>
  <si>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</si>
  <si>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</si>
  <si>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</si>
  <si>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</si>
  <si>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</si>
  <si>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</si>
  <si>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</si>
  <si>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</si>
  <si>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</si>
  <si>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</si>
  <si>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</si>
  <si>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</si>
  <si>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</si>
  <si>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</si>
  <si>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</si>
  <si>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</si>
  <si>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</si>
  <si>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</si>
  <si>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</si>
  <si>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</si>
  <si>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</si>
  <si>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</si>
  <si>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</si>
  <si>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</si>
  <si>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</si>
  <si>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</si>
  <si>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</si>
  <si>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</si>
  <si>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</si>
  <si>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</si>
  <si>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</si>
  <si>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</si>
  <si>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</si>
  <si>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</si>
  <si>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</si>
  <si>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</si>
  <si>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</si>
  <si>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</si>
  <si>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</si>
  <si>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</si>
  <si>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</si>
  <si>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</si>
  <si>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</si>
  <si>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</si>
  <si>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</si>
  <si>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</si>
  <si>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</si>
  <si>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</si>
  <si>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</si>
  <si>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</si>
  <si>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</si>
  <si>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</si>
  <si>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</si>
  <si>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</si>
  <si>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</si>
  <si>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</si>
  <si>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</si>
  <si>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</si>
  <si>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</si>
  <si>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</si>
  <si>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</si>
  <si>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</si>
  <si>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</si>
  <si>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</si>
  <si>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</si>
  <si>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</si>
  <si>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</si>
  <si>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</si>
  <si>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</si>
  <si>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</si>
  <si>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</si>
  <si>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</si>
  <si>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</si>
  <si>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</si>
  <si>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</si>
  <si>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</si>
  <si>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</si>
  <si>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</si>
  <si>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</si>
  <si>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</si>
  <si>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</si>
  <si>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</si>
  <si>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</si>
  <si>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</si>
  <si>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</si>
  <si>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</si>
  <si>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</si>
  <si>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</si>
  <si>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</si>
  <si>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</si>
  <si>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</si>
  <si>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</si>
  <si>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</si>
  <si>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</si>
  <si>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</si>
  <si>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</si>
  <si>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</si>
  <si>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</si>
  <si>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</si>
  <si>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</si>
  <si>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</si>
  <si>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</si>
  <si>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</si>
  <si>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</si>
  <si>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</si>
  <si>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</si>
  <si>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</si>
  <si>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</si>
  <si>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</si>
  <si>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</si>
  <si>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</si>
  <si>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</si>
  <si>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</si>
  <si>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</si>
  <si>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</si>
  <si>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</si>
  <si>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</si>
  <si>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</si>
  <si>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</si>
  <si>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</si>
  <si>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</si>
  <si>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</si>
  <si>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</si>
  <si>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</si>
  <si>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</si>
  <si>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</si>
  <si>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</si>
  <si>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</si>
  <si>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</si>
  <si>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</si>
  <si>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</si>
  <si>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</si>
  <si>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</si>
  <si>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</si>
  <si>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</si>
  <si>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</si>
  <si>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</si>
  <si>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</si>
  <si>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</si>
  <si>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</si>
  <si>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</si>
  <si>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</si>
  <si>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</si>
  <si>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</si>
  <si>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</si>
  <si>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</si>
  <si>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</si>
  <si>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</si>
  <si>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</si>
  <si>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</si>
  <si>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</si>
  <si>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</si>
  <si>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</si>
  <si>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</si>
  <si>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</si>
  <si>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</si>
  <si>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</si>
  <si>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</si>
  <si>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</si>
  <si>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</si>
  <si>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</si>
  <si>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</si>
  <si>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</si>
  <si>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</si>
  <si>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</si>
  <si>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</si>
  <si>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</si>
  <si>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</si>
  <si>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</si>
  <si>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</si>
  <si>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</si>
  <si>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</si>
  <si>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</si>
  <si>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</si>
  <si>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</si>
  <si>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</si>
  <si>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</si>
  <si>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</si>
  <si>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</si>
  <si>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</si>
  <si>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</si>
  <si>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</si>
  <si>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</si>
  <si>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</si>
  <si>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</si>
  <si>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</si>
  <si>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</si>
  <si>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</si>
  <si>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</si>
  <si>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</si>
  <si>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</si>
  <si>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</si>
  <si>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</si>
  <si>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</si>
  <si>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</si>
  <si>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</si>
  <si>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</si>
  <si>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</si>
  <si>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</si>
  <si>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</si>
  <si>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</si>
  <si>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</si>
  <si>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</si>
  <si>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</si>
  <si>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P4</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</si>
  <si>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</si>
  <si>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</si>
  <si>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</si>
  <si>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</si>
  <si>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</si>
  <si>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</si>
  <si>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</si>
  <si>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</si>
  <si>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</si>
  <si>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</si>
  <si>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</si>
  <si>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</si>
  <si>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</si>
  <si>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</si>
  <si>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</si>
  <si>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</si>
  <si>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</si>
  <si>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</si>
  <si>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</si>
  <si>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</si>
  <si>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</si>
  <si>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</si>
  <si>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</si>
  <si>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</si>
  <si>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</si>
  <si>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</si>
  <si>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</si>
  <si>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</si>
  <si>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</si>
  <si>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</si>
  <si>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</si>
  <si>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</si>
  <si>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</si>
  <si>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</si>
  <si>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</si>
  <si>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</si>
  <si>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</si>
  <si>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</si>
  <si>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</si>
  <si>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</si>
  <si>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</si>
  <si>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</si>
  <si>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</si>
  <si>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</si>
  <si>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</si>
  <si>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</si>
  <si>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</si>
  <si>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</si>
  <si>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</si>
  <si>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</si>
  <si>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</si>
  <si>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Bhamo Total</t>
  </si>
  <si>
    <t>Hpakant Total</t>
  </si>
  <si>
    <t>Mansi Total</t>
  </si>
  <si>
    <t>Mohnyin Total</t>
  </si>
  <si>
    <t>Momauk Total</t>
  </si>
  <si>
    <t>Myitkyina Total</t>
  </si>
  <si>
    <t>Puta-O Total</t>
  </si>
  <si>
    <t>Kutkai Total</t>
  </si>
  <si>
    <t>Muse Total</t>
  </si>
  <si>
    <t>Namhkan Total</t>
  </si>
  <si>
    <t>Shan_North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</si>
  <si>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</si>
  <si>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</si>
  <si>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</si>
  <si>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</si>
  <si>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</si>
  <si>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</si>
  <si>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</si>
  <si>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</si>
  <si>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</si>
  <si>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</si>
  <si>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</si>
  <si>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</si>
  <si>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</si>
  <si>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</si>
  <si>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</si>
  <si>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</si>
  <si>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</si>
  <si>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</si>
  <si>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</si>
  <si>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</si>
  <si>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</si>
  <si>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</si>
  <si>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</si>
  <si>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</si>
  <si>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</si>
  <si>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</si>
  <si>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</si>
  <si>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</si>
  <si>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</si>
  <si>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</si>
  <si>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</si>
  <si>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</si>
  <si>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</si>
  <si>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</si>
  <si>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</si>
  <si>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</si>
  <si>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</si>
  <si>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</si>
  <si>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</si>
  <si>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</si>
  <si>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</si>
  <si>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</si>
  <si>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</si>
  <si>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</si>
  <si>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</si>
  <si>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</si>
  <si>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</si>
  <si>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</si>
  <si>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</si>
  <si>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</si>
  <si>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</si>
  <si>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</si>
  <si>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</si>
  <si>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</si>
  <si>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</si>
  <si>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</si>
  <si>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</si>
  <si>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</si>
  <si>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</si>
  <si>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</si>
  <si>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</si>
  <si>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</si>
  <si>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</si>
  <si>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</si>
  <si>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</si>
  <si>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</si>
  <si>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</si>
  <si>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</si>
  <si>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</si>
  <si>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</si>
  <si>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</si>
  <si>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</si>
  <si>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</si>
  <si>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</si>
  <si>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</si>
  <si>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</si>
  <si>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</si>
  <si>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</si>
  <si>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</si>
  <si>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</si>
  <si>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</si>
  <si>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</si>
  <si>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</si>
  <si>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</si>
  <si>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</si>
  <si>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</si>
  <si>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</si>
  <si>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</si>
  <si>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</si>
  <si>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</si>
  <si>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</si>
  <si>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</si>
  <si>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</si>
  <si>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</si>
  <si>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</si>
  <si>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</si>
  <si>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</si>
  <si>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</si>
  <si>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</si>
  <si>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</si>
  <si>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</si>
  <si>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</si>
  <si>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</si>
  <si>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</si>
  <si>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Shan</t>
  </si>
  <si>
    <t xml:space="preserve">Shan </t>
  </si>
  <si>
    <t>Kut kai</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</si>
  <si>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</si>
  <si>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</si>
  <si>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</si>
  <si>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</si>
  <si>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</si>
  <si>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</si>
  <si>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</si>
  <si>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</si>
  <si>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</si>
  <si>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</si>
  <si>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</si>
  <si>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</si>
  <si>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</si>
  <si>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</si>
  <si>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</si>
  <si>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</si>
  <si>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</si>
  <si>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</si>
  <si>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</si>
  <si>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</si>
  <si>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</si>
  <si>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</si>
  <si>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</si>
  <si>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</si>
  <si>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</si>
  <si>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</si>
  <si>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</si>
  <si>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</si>
  <si>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</si>
  <si>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</si>
  <si>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</si>
  <si>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</si>
  <si>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</si>
  <si>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</si>
  <si>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</si>
  <si>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</si>
  <si>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</si>
  <si>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</si>
  <si>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</si>
  <si>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</si>
  <si>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</si>
  <si>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</si>
  <si>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</si>
  <si>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</si>
  <si>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</si>
  <si>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</si>
  <si>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</si>
  <si>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</si>
  <si>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</si>
  <si>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</si>
  <si>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</si>
  <si>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</si>
  <si>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</si>
  <si>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</si>
  <si>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</si>
  <si>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</si>
  <si>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</si>
  <si>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</si>
  <si>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</si>
  <si>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</si>
  <si>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</si>
  <si>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</si>
  <si>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</si>
  <si>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</si>
  <si>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</si>
  <si>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</si>
  <si>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</si>
  <si>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</si>
  <si>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</si>
  <si>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</si>
  <si>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</si>
  <si>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</si>
  <si>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</si>
  <si>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</si>
  <si>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</si>
  <si>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</si>
  <si>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</si>
  <si>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</si>
  <si>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</si>
  <si>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</si>
  <si>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</si>
  <si>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</si>
  <si>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</si>
  <si>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</si>
  <si>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</si>
  <si>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</si>
  <si>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</si>
  <si>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</si>
  <si>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</si>
  <si>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</si>
  <si>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</si>
  <si>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</si>
  <si>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</si>
  <si>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</si>
  <si>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</si>
  <si>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</si>
  <si>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</si>
  <si>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</si>
  <si>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</si>
  <si>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</si>
  <si>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</si>
  <si>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</si>
  <si>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</si>
  <si>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</si>
  <si>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</si>
  <si>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</si>
  <si>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</si>
  <si>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</si>
  <si>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</si>
  <si>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</si>
  <si>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</si>
  <si>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</si>
  <si>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</si>
  <si>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</si>
  <si>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</si>
  <si>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</si>
  <si>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</si>
  <si>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</si>
  <si>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</si>
  <si>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</si>
  <si>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</si>
  <si>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</si>
  <si>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</si>
  <si>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</si>
  <si>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</si>
  <si>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</si>
  <si>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</si>
  <si>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</si>
  <si>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</si>
  <si>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</si>
  <si>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</si>
  <si>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</si>
  <si>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</si>
  <si>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</si>
  <si>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</si>
  <si>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</si>
  <si>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</si>
  <si>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</si>
  <si>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</si>
  <si>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</si>
  <si>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</si>
  <si>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</si>
  <si>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</si>
  <si>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</si>
  <si>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</si>
  <si>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</si>
  <si>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</si>
  <si>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</si>
  <si>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</si>
  <si>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7/April/2017: Population update. Data source: WFP
Geo-Info, HH/Pop data was updated from Google Earth.</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</si>
  <si>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</si>
  <si>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</si>
  <si>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</si>
  <si>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</si>
  <si>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</si>
  <si>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</si>
  <si>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</si>
  <si>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</si>
  <si>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</si>
  <si>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</si>
  <si>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</si>
  <si>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</si>
  <si>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</si>
  <si>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</si>
  <si>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Population updated. Data source: WASH Cluster (dated 7/April_outlook mail)
Change to Host Families.</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</si>
  <si>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</si>
  <si>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</si>
  <si>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</si>
  <si>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</si>
  <si>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</si>
  <si>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</si>
  <si>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</si>
  <si>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</si>
  <si>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</si>
  <si>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</si>
  <si>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</si>
  <si>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</si>
  <si>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</si>
  <si>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</si>
  <si>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</si>
  <si>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</si>
  <si>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</si>
  <si>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</si>
  <si>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</si>
  <si>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</si>
  <si>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</si>
  <si>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</si>
  <si>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</si>
  <si>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</si>
  <si>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</si>
  <si>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</si>
  <si>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</si>
  <si>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</si>
  <si>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</si>
  <si>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r>
      <t xml:space="preserve">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</si>
  <si>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</si>
  <si>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</si>
  <si>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</si>
  <si>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</si>
  <si>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</si>
  <si>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</si>
  <si>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</si>
  <si>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</si>
  <si>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</si>
  <si>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</si>
  <si>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</si>
  <si>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</si>
  <si>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</si>
  <si>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</si>
  <si>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</si>
  <si>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</si>
  <si>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</si>
  <si>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</si>
  <si>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</si>
  <si>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</si>
  <si>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</si>
  <si>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</si>
  <si>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29/June/2017: Population update. Planning to local integration through KMSS_Myitkyina. There is no responsible org now.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</si>
  <si>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</si>
  <si>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</si>
  <si>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</si>
  <si>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</si>
  <si>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</si>
  <si>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</si>
  <si>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</si>
  <si>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</si>
  <si>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</si>
  <si>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</si>
  <si>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</si>
  <si>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</si>
  <si>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</si>
  <si>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</si>
  <si>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</si>
  <si>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</si>
  <si>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</si>
  <si>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</si>
  <si>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</si>
  <si>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</si>
  <si>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</si>
  <si>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</si>
  <si>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</si>
  <si>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</si>
  <si>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</si>
  <si>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no</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</si>
  <si>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</si>
  <si>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</si>
  <si>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</si>
  <si>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</si>
  <si>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</si>
  <si>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</si>
  <si>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</si>
  <si>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</si>
  <si>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</si>
  <si>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</si>
  <si>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</si>
  <si>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</si>
  <si>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</si>
  <si>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</si>
  <si>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</si>
  <si>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</si>
  <si>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</si>
  <si>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</si>
  <si>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</si>
  <si>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</si>
  <si>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</si>
  <si>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</si>
  <si>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</si>
  <si>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</si>
  <si>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</si>
  <si>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</si>
  <si>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</si>
  <si>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</si>
  <si>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</si>
  <si>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</si>
  <si>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</si>
  <si>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</si>
  <si>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</si>
  <si>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</si>
  <si>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</si>
  <si>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</si>
  <si>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</si>
  <si>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</si>
  <si>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</si>
  <si>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</si>
  <si>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</si>
  <si>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</si>
  <si>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</si>
  <si>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</si>
  <si>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</si>
  <si>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</si>
  <si>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</si>
  <si>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</si>
  <si>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</si>
  <si>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</si>
  <si>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</si>
  <si>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</si>
  <si>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</si>
  <si>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</si>
  <si>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Lel Pyin</t>
  </si>
  <si>
    <r>
      <t>Lawng Hkang Shait Yang Camp</t>
    </r>
    <r>
      <rPr>
        <sz val="12"/>
        <color rgb="FF000000"/>
        <rFont val="Calibri"/>
        <family val="2"/>
        <scheme val="minor"/>
      </rPr>
      <t>​ ( Lel Pyin)​ </t>
    </r>
  </si>
  <si>
    <t>MMR001CMP250</t>
  </si>
  <si>
    <t>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t>
  </si>
  <si>
    <t>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</si>
  <si>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</si>
  <si>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</si>
  <si>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</si>
  <si>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</si>
  <si>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</si>
  <si>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</si>
  <si>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</si>
  <si>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</si>
  <si>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</si>
  <si>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</si>
  <si>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</si>
  <si>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</si>
  <si>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</si>
  <si>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</si>
  <si>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</si>
  <si>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</si>
  <si>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</si>
  <si>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</si>
  <si>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</si>
  <si>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</si>
  <si>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</si>
  <si>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</si>
  <si>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</si>
  <si>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Town</t>
  </si>
  <si>
    <t>P-Code</t>
  </si>
  <si>
    <t>Land Available</t>
  </si>
  <si>
    <t>Shelter gap/needs:  2017</t>
  </si>
  <si>
    <t>remaining gap/needs: 2017</t>
  </si>
  <si>
    <t>New shelter</t>
  </si>
  <si>
    <t>New Kitchen</t>
  </si>
  <si>
    <t>Renovation</t>
  </si>
  <si>
    <t>C&amp;M</t>
  </si>
  <si>
    <t>Communal Hall</t>
  </si>
  <si>
    <t>Agency</t>
  </si>
  <si>
    <t>Unit</t>
  </si>
  <si>
    <t>Name(s)</t>
  </si>
  <si>
    <t>KMSS-B</t>
  </si>
  <si>
    <t>KMSS-Bhamo</t>
  </si>
  <si>
    <t>reported by KBC</t>
  </si>
  <si>
    <t>Lisu Boarding House</t>
  </si>
  <si>
    <t xml:space="preserve">Shalom </t>
  </si>
  <si>
    <t>yes</t>
  </si>
  <si>
    <t>KBC, Metta</t>
  </si>
  <si>
    <t>Ta Gun Taing</t>
  </si>
  <si>
    <t>KMSS-M</t>
  </si>
  <si>
    <t>5-Ward Baptist Church (Lon Kin)</t>
  </si>
  <si>
    <t>Dhama Rakhita, Nyein Chan Tar Yar Ward (Lon Kin)</t>
  </si>
  <si>
    <t>Lisu Baptist Church, Maw Shan Vil, Seik Mu</t>
  </si>
  <si>
    <t>Mashi Kahtawng Baptist Church</t>
  </si>
  <si>
    <t xml:space="preserve">KMSS,Shalom </t>
  </si>
  <si>
    <t>Nam Ma Phyit Catholic Church</t>
  </si>
  <si>
    <t>Rawan Baptist Church, Maw Shan Vil, Seik Mu.</t>
  </si>
  <si>
    <t>Sai Nai Baptist Church, Maw Shan Vil, Seik Mu</t>
  </si>
  <si>
    <t>Ward 2 Catholic Church, Seik Mu</t>
  </si>
  <si>
    <t>Ward 2 Sai Taung Baptist Church, Seik Mu</t>
  </si>
  <si>
    <t>Yumar Baptist</t>
  </si>
  <si>
    <t>Baptist Church - Nam Ma Hpit</t>
  </si>
  <si>
    <t>5 Ward RC Church (Lon Kin)</t>
  </si>
  <si>
    <t>Zap Htu Zup</t>
  </si>
  <si>
    <t>NSS</t>
  </si>
  <si>
    <t>Kutkai Downtown _ KBC Church</t>
  </si>
  <si>
    <t>uncovered</t>
  </si>
  <si>
    <t>Kutkai Downtown_KBC Church 2</t>
  </si>
  <si>
    <t>N/A</t>
  </si>
  <si>
    <t>Reported by NRC</t>
  </si>
  <si>
    <t>KMSS-L</t>
  </si>
  <si>
    <t>Kutkai Downtown _ RC Church</t>
  </si>
  <si>
    <t>Mine Yu Lay village Old</t>
  </si>
  <si>
    <t>KMSS-LSO-KBC</t>
  </si>
  <si>
    <t>Mine Yu Lay village new</t>
  </si>
  <si>
    <t>Manloi</t>
  </si>
  <si>
    <t>Mungji Pa Dabang (Baptist Church)</t>
  </si>
  <si>
    <t>Zup Aung Camp - Galeng Kachin</t>
  </si>
  <si>
    <t>Bum Tsit Pa</t>
  </si>
  <si>
    <t>Maing Khaung KBC</t>
  </si>
  <si>
    <t>Reported by KMSS-Bmo</t>
  </si>
  <si>
    <t>Man Wing Gyi Baptist</t>
  </si>
  <si>
    <t>Man Wing Catholic I</t>
  </si>
  <si>
    <t>KMSS-Bmo</t>
  </si>
  <si>
    <t>Man Wing Catholic II</t>
  </si>
  <si>
    <t>Metta - KBC</t>
  </si>
  <si>
    <t>La Na Zup ja</t>
  </si>
  <si>
    <t>KBC, KMSS-Bmo</t>
  </si>
  <si>
    <t>Man Wing Gyi Baptist Cultural compound</t>
  </si>
  <si>
    <t>KMSS-KBC</t>
  </si>
  <si>
    <t>Uncovered</t>
  </si>
  <si>
    <t>Manton Catholic Church</t>
  </si>
  <si>
    <t>Kyun Taw Baptist camp</t>
  </si>
  <si>
    <t>Reported by KBC</t>
  </si>
  <si>
    <t>Mang Hawng RC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</si>
  <si>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</si>
  <si>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</si>
  <si>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</si>
  <si>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</si>
  <si>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</si>
  <si>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</si>
  <si>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</si>
  <si>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</si>
  <si>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</si>
  <si>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</si>
  <si>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</si>
  <si>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</si>
  <si>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</si>
  <si>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 xml:space="preserve">KBC </t>
  </si>
  <si>
    <t>Jan Mai Kaung Catholic Church</t>
  </si>
  <si>
    <t>Le Kone Ziun Baptist Church</t>
  </si>
  <si>
    <t>Nan Kway St.John Catholic Church</t>
  </si>
  <si>
    <t>Njang Dung Baptist</t>
  </si>
  <si>
    <t>Pa Dauk Myaing (pa La Na)</t>
  </si>
  <si>
    <t>Wun Tho</t>
  </si>
  <si>
    <t>Nam Hkam</t>
  </si>
  <si>
    <t>Nam Hkam - (KBC Jaw wang)_1</t>
  </si>
  <si>
    <t>Nam Hkam - (KBC Jaw wang)_2</t>
  </si>
  <si>
    <t>Nam Hkam - Pang Long KBC</t>
  </si>
  <si>
    <t>Nam Hkam Catholic Church (St. Thomas)</t>
  </si>
  <si>
    <t>Reported by KMSS-LSO</t>
  </si>
  <si>
    <t>Shwe Myint Thar Monastry</t>
  </si>
  <si>
    <t>Shwe Gu</t>
  </si>
  <si>
    <t>Sumbrabum</t>
  </si>
  <si>
    <t>Boarder Post 8</t>
  </si>
  <si>
    <t>Khat Cho</t>
  </si>
  <si>
    <t>Maga Yang</t>
  </si>
  <si>
    <t>Maina Catholic Church (St.Joseph)</t>
  </si>
  <si>
    <t>BP6</t>
  </si>
  <si>
    <t>Qtr 2 Lhaovo Baptist Church</t>
  </si>
  <si>
    <t xml:space="preserve">Shalom, </t>
  </si>
  <si>
    <t>Qtr 2 Myoma Baptist Church</t>
  </si>
  <si>
    <t>Qtr 3 Mu yin Baptist Church</t>
  </si>
  <si>
    <t xml:space="preserve">KMSS, Shalom </t>
  </si>
  <si>
    <t xml:space="preserve">Qtr 4 Monestry (Thargaya Thayet Taw) </t>
  </si>
  <si>
    <t>Waingmaw A.G Church</t>
  </si>
  <si>
    <t>Sha it Yang</t>
  </si>
  <si>
    <t>Woi Chai</t>
  </si>
  <si>
    <t xml:space="preserve">TOTAL </t>
  </si>
  <si>
    <t># Individuals</t>
  </si>
  <si>
    <t># HHs</t>
  </si>
  <si>
    <t># Shelters planned</t>
  </si>
  <si>
    <t>Current coverage</t>
  </si>
  <si>
    <t>Nam Kham</t>
  </si>
  <si>
    <t xml:space="preserve">Nam Jarap ( Nam Sa Larp) </t>
  </si>
  <si>
    <t># Shelters needed</t>
  </si>
  <si>
    <t># Shelter gap*</t>
  </si>
  <si>
    <t>*Shelters are considered to be; new units, renovation and C&amp;M</t>
  </si>
  <si>
    <t># Shelters</t>
  </si>
  <si>
    <t>SI</t>
  </si>
  <si>
    <t>Cash for NFI (# of HHs covered)</t>
  </si>
  <si>
    <t>IDP locations SUMMARY</t>
  </si>
  <si>
    <t>Data source MRCS</t>
  </si>
  <si>
    <t>Data source Metta</t>
  </si>
  <si>
    <t>Solidarites</t>
  </si>
  <si>
    <t>Date of attempt to follow up</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</si>
  <si>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</si>
  <si>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</si>
  <si>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</si>
  <si>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</si>
  <si>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</si>
  <si>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Camp like setting</t>
  </si>
  <si>
    <t xml:space="preserve">        increased since last month          decreased since last month</t>
  </si>
  <si>
    <t xml:space="preserve">Legend for HH and Population figures: </t>
  </si>
  <si>
    <t>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</si>
  <si>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7/April/2017: Population update. Data source: WFP
9/Nov/15. Population update. Data source: WFP
Update IDP increased in Oct and Nov 2013 (UNHCR - Bhamo)</t>
  </si>
  <si>
    <t>7/April/2017: Population update. Data source: WFP
9/Nov/15. Population update. Data source: WFP
Update IDP increased in Oct and Nov 2013 from (UNHCR - Bhamo)</t>
  </si>
  <si>
    <t>7/April/2017: Population update. Data source: WFP
9/Nov/15. Population update. Data source: WFP</t>
  </si>
  <si>
    <t>Not updated due to lack of access.
New host families.</t>
  </si>
  <si>
    <t>25/Jul/2016: Added as new camp according to KBC data.</t>
  </si>
  <si>
    <t xml:space="preserve">No agency has visited since Jul/2016, KBC to follow up.
25/Jul/2016: Added as new camp according to KBC data. </t>
  </si>
  <si>
    <t>6/Apr/2017: Population update. Data source: CCCM and confirmed by camp manager.
20/Feb/2017: Updating GPS coordiante.
25/Jul/2016: Added as new camp according to KBC data. Data was given by Jade</t>
  </si>
  <si>
    <t>No update information since Jul/2016, KBC to follow up
25/Jul/2016: Added as new camp according to KBC data.</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</si>
  <si>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</si>
  <si>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</si>
  <si>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</si>
  <si>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</si>
  <si>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</si>
  <si>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</si>
  <si>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</si>
  <si>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</si>
  <si>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</si>
  <si>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29-06-17</t>
  </si>
  <si>
    <t>Tanai Total</t>
  </si>
  <si>
    <t>Solar lamps</t>
  </si>
  <si>
    <t>Kachin &amp; Nothern Shan NFI Coverage</t>
  </si>
  <si>
    <t>NRC/KBC</t>
  </si>
  <si>
    <t>UNHCR/Shalom</t>
  </si>
  <si>
    <t># of distributions</t>
  </si>
  <si>
    <t>Agencies currently implementing shelter activities (2017)</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</si>
  <si>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</si>
  <si>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</si>
  <si>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</si>
  <si>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</si>
  <si>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</si>
  <si>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</si>
  <si>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</si>
  <si>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</si>
  <si>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</si>
  <si>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</si>
  <si>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</si>
  <si>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</si>
  <si>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</si>
  <si>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</si>
  <si>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</si>
  <si>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</si>
  <si>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</si>
  <si>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</si>
  <si>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</si>
  <si>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</si>
  <si>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</si>
  <si>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</si>
  <si>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</si>
  <si>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</si>
  <si>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</si>
  <si>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</si>
  <si>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</si>
  <si>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</si>
  <si>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</si>
  <si>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</si>
  <si>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</si>
  <si>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</si>
  <si>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</si>
  <si>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</si>
  <si>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</si>
  <si>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</si>
  <si>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</si>
  <si>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</si>
  <si>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</si>
  <si>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</si>
  <si>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</si>
  <si>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</si>
  <si>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</si>
  <si>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</si>
  <si>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</si>
  <si>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</si>
  <si>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State / Accessibility</t>
  </si>
  <si>
    <t xml:space="preserve">        dropdown</t>
  </si>
  <si>
    <t>All</t>
  </si>
  <si>
    <t>NFI Stock/pipeline tracking</t>
  </si>
  <si>
    <t>Hygiene Family Kit</t>
  </si>
  <si>
    <t>Clothes Kits</t>
  </si>
  <si>
    <t>ES kit</t>
  </si>
  <si>
    <t>Shelter tool kit</t>
  </si>
  <si>
    <t>Jerry can</t>
  </si>
  <si>
    <t>31-07-17</t>
  </si>
  <si>
    <t>agency name</t>
  </si>
  <si>
    <t>Camp name</t>
  </si>
  <si>
    <t>Camp ID</t>
  </si>
  <si>
    <t>type of shelter</t>
  </si>
  <si>
    <t>CESVI</t>
  </si>
  <si>
    <t>AD-2000</t>
  </si>
  <si>
    <t>New Unit (single and barrack)</t>
  </si>
  <si>
    <t>Yes</t>
  </si>
  <si>
    <t>DRC</t>
  </si>
  <si>
    <t>Communal kitchen</t>
  </si>
  <si>
    <t>No</t>
  </si>
  <si>
    <t>ICRC</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</si>
  <si>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</si>
  <si>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</si>
  <si>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</si>
  <si>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</si>
  <si>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</si>
  <si>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</si>
  <si>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</si>
  <si>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</si>
  <si>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</si>
  <si>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</si>
  <si>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</si>
  <si>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</si>
  <si>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</si>
  <si>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</si>
  <si>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</si>
  <si>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</si>
  <si>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</si>
  <si>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</si>
  <si>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</si>
  <si>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</si>
  <si>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</si>
  <si>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</si>
  <si>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</si>
  <si>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</si>
  <si>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</si>
  <si>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</si>
  <si>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</si>
  <si>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</si>
  <si>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</si>
  <si>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</si>
  <si>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</si>
  <si>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</si>
  <si>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</si>
  <si>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</si>
  <si>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</si>
  <si>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</si>
  <si>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</si>
  <si>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</si>
  <si>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</si>
  <si>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</si>
  <si>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</si>
  <si>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</si>
  <si>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</si>
  <si>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</si>
  <si>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</si>
  <si>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</si>
  <si>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</si>
  <si>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</si>
  <si>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</si>
  <si>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 xml:space="preserve">Three locations in Du Kahtawng merged as per 1st of July </t>
  </si>
  <si>
    <t>CCCM activities start in july 2017</t>
  </si>
  <si>
    <t>Planned coverage: Jul - Dec 2017</t>
  </si>
  <si>
    <t>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</si>
  <si>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Closed july 2017</t>
  </si>
  <si>
    <t>Ka bu dam village</t>
  </si>
  <si>
    <t>Ka Bu Dam</t>
  </si>
  <si>
    <t>Ka Bu Dam CoC</t>
  </si>
  <si>
    <t>New displacement from Tingkawk</t>
  </si>
  <si>
    <t>TOTAL</t>
  </si>
  <si>
    <t>GLAD constructed to fill gap in august</t>
  </si>
  <si>
    <t>Shelter gap analysis August 2017</t>
  </si>
  <si>
    <t>Pamati AG church</t>
  </si>
  <si>
    <t>Mai Hkawng KBC Camp-2</t>
  </si>
  <si>
    <t>Pan Hkawn Yang village</t>
  </si>
  <si>
    <t>Namti</t>
  </si>
  <si>
    <t>31-08-17</t>
  </si>
  <si>
    <t>Khun Thar Ward</t>
  </si>
  <si>
    <t>Min Jong Kone Ward</t>
  </si>
  <si>
    <t>Swegu</t>
  </si>
  <si>
    <t>Location</t>
  </si>
  <si>
    <t>Man ma Lin village</t>
  </si>
  <si>
    <t>Lat Pan La village</t>
  </si>
  <si>
    <t>Moe Sein Tune village</t>
  </si>
  <si>
    <t>Yel Lay village</t>
  </si>
  <si>
    <t>Pa Ma Tee</t>
  </si>
  <si>
    <t>AG Church Pa Ma Tee</t>
  </si>
  <si>
    <t>New displacement from Ka Sung</t>
  </si>
  <si>
    <t>Metta/Trocaire</t>
  </si>
  <si>
    <t>KMSS-M/Trocaire/Metta</t>
  </si>
  <si>
    <t>GLAD</t>
  </si>
  <si>
    <t>Trocaire</t>
  </si>
  <si>
    <t>September</t>
  </si>
  <si>
    <t>\</t>
  </si>
  <si>
    <t>Closed as of 1st of September 2017</t>
  </si>
  <si>
    <t>Pan Law</t>
  </si>
  <si>
    <t>IDPs returned</t>
  </si>
  <si>
    <t>Tanai RC church (kinsa Ra)</t>
  </si>
  <si>
    <t>30-Sep-2017</t>
  </si>
  <si>
    <t>07-Sep-2017</t>
  </si>
  <si>
    <t>Loi Je RC camp</t>
  </si>
  <si>
    <t>29-09-2017</t>
  </si>
  <si>
    <t>Waignmaw</t>
  </si>
  <si>
    <t>Waignmaw lhavo zonal</t>
  </si>
  <si>
    <t>Waignmaw AG</t>
  </si>
  <si>
    <t>Chang Myi Ta Ya</t>
  </si>
  <si>
    <t>Lack of access. Not updated since Mar/2014.
Change to Host Families.</t>
  </si>
  <si>
    <t>closed</t>
  </si>
  <si>
    <t>Type of Accommodation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</si>
</sst>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409]d\-mmm\-yyyy;@"/>
  </numFmts>
  <fonts count="72"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sz val="16"/>
      <color theme="1"/>
      <name val="Calibri"/>
      <family val="2"/>
      <scheme val="minor"/>
    </font>
    <font>
      <b/>
      <sz val="16"/>
      <color theme="1"/>
      <name val="Calibri"/>
      <family val="2"/>
      <scheme val="minor"/>
    </font>
    <font>
      <sz val="12"/>
      <color rgb="FF000000"/>
      <name val="Calibri"/>
      <family val="2"/>
      <scheme val="minor"/>
    </font>
    <font>
      <sz val="10"/>
      <name val="Calibri"/>
      <family val="2"/>
      <scheme val="minor"/>
    </font>
    <font>
      <b/>
      <sz val="18"/>
      <color theme="1"/>
      <name val="Calibri"/>
      <family val="2"/>
      <scheme val="minor"/>
    </font>
    <font>
      <b/>
      <sz val="9"/>
      <color theme="1" tint="0.499984740745262"/>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9"/>
      <color indexed="81"/>
      <name val="Tahoma"/>
      <family val="2"/>
    </font>
    <font>
      <sz val="9"/>
      <color indexed="81"/>
      <name val="Tahoma"/>
      <family val="2"/>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s>
  <fills count="3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00B050"/>
        <bgColor indexed="64"/>
      </patternFill>
    </fill>
    <fill>
      <patternFill patternType="solid">
        <fgColor rgb="FFC00000"/>
        <bgColor indexed="64"/>
      </patternFill>
    </fill>
    <fill>
      <patternFill patternType="solid">
        <fgColor rgb="FFD5EFFF"/>
        <bgColor indexed="64"/>
      </patternFill>
    </fill>
    <fill>
      <patternFill patternType="solid">
        <fgColor theme="7" tint="0.79998168889431442"/>
        <bgColor indexed="64"/>
      </patternFill>
    </fill>
    <fill>
      <patternFill patternType="mediumGray">
        <bgColor theme="7" tint="0.59999389629810485"/>
      </patternFill>
    </fill>
    <fill>
      <patternFill patternType="solid">
        <fgColor theme="8" tint="0.79998168889431442"/>
        <bgColor indexed="64"/>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3"/>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medium">
        <color indexed="64"/>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diagonal/>
    </border>
    <border>
      <left style="thin">
        <color theme="0"/>
      </left>
      <right/>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9">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65" fillId="35" borderId="51" applyNumberFormat="0" applyAlignment="0" applyProtection="0"/>
  </cellStyleXfs>
  <cellXfs count="910">
    <xf numFmtId="0" fontId="0" fillId="0" borderId="0" xfId="0"/>
    <xf numFmtId="0" fontId="0" fillId="0" borderId="0" xfId="0" applyBorder="1"/>
    <xf numFmtId="0" fontId="5" fillId="0" borderId="0" xfId="0" applyFont="1"/>
    <xf numFmtId="0" fontId="0" fillId="0" borderId="0" xfId="0" applyFill="1"/>
    <xf numFmtId="0" fontId="0" fillId="6"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13" borderId="0" xfId="0" applyFill="1"/>
    <xf numFmtId="0" fontId="0" fillId="6" borderId="0" xfId="0" applyFill="1" applyBorder="1"/>
    <xf numFmtId="0" fontId="0" fillId="0" borderId="0" xfId="0"/>
    <xf numFmtId="0" fontId="7" fillId="0" borderId="0" xfId="6" applyFont="1" applyFill="1" applyBorder="1" applyAlignment="1">
      <alignment horizontal="center" vertical="center"/>
    </xf>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6"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6" borderId="1" xfId="8" applyFont="1" applyFill="1" applyBorder="1"/>
    <xf numFmtId="165" fontId="28" fillId="0" borderId="1" xfId="9" applyNumberFormat="1" applyFont="1" applyBorder="1"/>
    <xf numFmtId="165" fontId="28" fillId="0" borderId="1" xfId="0" applyNumberFormat="1" applyFont="1" applyBorder="1"/>
    <xf numFmtId="9" fontId="28" fillId="15" borderId="1" xfId="8" applyFont="1" applyFill="1" applyBorder="1"/>
    <xf numFmtId="0" fontId="0" fillId="0" borderId="0" xfId="0" applyFill="1" applyBorder="1" applyAlignment="1">
      <alignment horizontal="left" vertical="center"/>
    </xf>
    <xf numFmtId="9" fontId="0" fillId="0" borderId="0" xfId="0" applyNumberFormat="1"/>
    <xf numFmtId="0" fontId="4" fillId="0" borderId="0" xfId="0"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4" fillId="17" borderId="0" xfId="0" applyFont="1" applyFill="1" applyAlignment="1">
      <alignment horizontal="center" vertical="center"/>
    </xf>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6" borderId="1" xfId="8" applyFont="1" applyFill="1" applyBorder="1" applyAlignment="1">
      <alignment horizontal="center" vertical="top"/>
    </xf>
    <xf numFmtId="0" fontId="27" fillId="15" borderId="1" xfId="0" applyFont="1" applyFill="1" applyBorder="1" applyAlignment="1">
      <alignment horizontal="center" vertical="top" wrapText="1"/>
    </xf>
    <xf numFmtId="0" fontId="0" fillId="0" borderId="0" xfId="0" applyAlignment="1">
      <alignment horizontal="center" vertical="center"/>
    </xf>
    <xf numFmtId="0" fontId="34" fillId="20" borderId="27" xfId="0" applyFont="1" applyFill="1" applyBorder="1"/>
    <xf numFmtId="0" fontId="35" fillId="20" borderId="28" xfId="0" applyFont="1" applyFill="1" applyBorder="1"/>
    <xf numFmtId="0" fontId="34" fillId="20" borderId="25" xfId="0" applyFont="1" applyFill="1" applyBorder="1"/>
    <xf numFmtId="0" fontId="35" fillId="20" borderId="29" xfId="0" applyFont="1" applyFill="1" applyBorder="1"/>
    <xf numFmtId="0" fontId="35" fillId="0" borderId="0" xfId="0" applyFont="1" applyFill="1"/>
    <xf numFmtId="0" fontId="34" fillId="0" borderId="35" xfId="0" applyFont="1" applyFill="1" applyBorder="1"/>
    <xf numFmtId="0" fontId="34" fillId="0" borderId="9" xfId="0" applyFont="1" applyFill="1" applyBorder="1"/>
    <xf numFmtId="0" fontId="34" fillId="0" borderId="36" xfId="0" applyFont="1" applyFill="1" applyBorder="1"/>
    <xf numFmtId="0" fontId="34" fillId="0" borderId="4" xfId="0" applyFont="1" applyFill="1" applyBorder="1"/>
    <xf numFmtId="0" fontId="34" fillId="0" borderId="31" xfId="0" applyFont="1" applyFill="1" applyBorder="1"/>
    <xf numFmtId="0" fontId="34" fillId="0" borderId="37" xfId="0" applyFont="1" applyFill="1" applyBorder="1"/>
    <xf numFmtId="0" fontId="34" fillId="0" borderId="22" xfId="0" applyFont="1" applyFill="1" applyBorder="1"/>
    <xf numFmtId="0" fontId="34" fillId="0" borderId="21" xfId="0" applyFont="1" applyFill="1" applyBorder="1"/>
    <xf numFmtId="0" fontId="34" fillId="0" borderId="24" xfId="0" applyFont="1" applyFill="1" applyBorder="1"/>
    <xf numFmtId="0" fontId="35" fillId="18"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9" borderId="0" xfId="0" applyFont="1" applyFill="1" applyBorder="1"/>
    <xf numFmtId="2" fontId="35" fillId="19"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13"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25" borderId="7" xfId="5" applyFont="1" applyFill="1" applyBorder="1" applyAlignment="1">
      <alignment horizontal="left" vertical="top"/>
    </xf>
    <xf numFmtId="0" fontId="9" fillId="25" borderId="0" xfId="0" applyFont="1" applyFill="1" applyAlignment="1">
      <alignment horizontal="left" vertical="top"/>
    </xf>
    <xf numFmtId="0" fontId="15" fillId="25" borderId="9" xfId="5" applyFont="1" applyFill="1" applyBorder="1" applyAlignment="1">
      <alignment horizontal="left" vertical="top"/>
    </xf>
    <xf numFmtId="170" fontId="15" fillId="25" borderId="9" xfId="5" applyNumberFormat="1" applyFont="1" applyFill="1" applyBorder="1" applyAlignment="1">
      <alignment horizontal="left" vertical="top"/>
    </xf>
    <xf numFmtId="17" fontId="3" fillId="6" borderId="0" xfId="0" applyNumberFormat="1" applyFont="1" applyFill="1" applyAlignment="1">
      <alignment horizontal="left"/>
    </xf>
    <xf numFmtId="0" fontId="7" fillId="6" borderId="0" xfId="6" applyFont="1" applyFill="1" applyBorder="1" applyAlignment="1">
      <alignment horizontal="center" vertical="center"/>
    </xf>
    <xf numFmtId="0" fontId="29" fillId="6" borderId="0" xfId="0" applyFont="1" applyFill="1" applyAlignment="1">
      <alignment vertical="center" readingOrder="1"/>
    </xf>
    <xf numFmtId="0" fontId="0" fillId="26" borderId="0" xfId="0" applyFill="1" applyBorder="1"/>
    <xf numFmtId="0" fontId="24" fillId="24" borderId="0" xfId="6" applyFont="1" applyFill="1" applyBorder="1" applyAlignment="1">
      <alignment vertical="center"/>
    </xf>
    <xf numFmtId="0" fontId="0" fillId="24" borderId="10" xfId="0" applyFill="1" applyBorder="1"/>
    <xf numFmtId="0" fontId="0" fillId="24" borderId="12" xfId="0" applyFill="1" applyBorder="1"/>
    <xf numFmtId="0" fontId="0" fillId="24" borderId="13" xfId="0" applyFill="1" applyBorder="1"/>
    <xf numFmtId="0" fontId="0" fillId="24" borderId="14" xfId="0" applyFill="1" applyBorder="1"/>
    <xf numFmtId="0" fontId="0" fillId="0" borderId="41" xfId="0" applyBorder="1"/>
    <xf numFmtId="0" fontId="0" fillId="0" borderId="42" xfId="0" applyBorder="1"/>
    <xf numFmtId="0" fontId="0" fillId="6" borderId="42" xfId="0" applyFill="1" applyBorder="1"/>
    <xf numFmtId="0" fontId="0" fillId="6" borderId="14" xfId="0" applyFill="1" applyBorder="1"/>
    <xf numFmtId="0" fontId="0" fillId="6" borderId="43" xfId="0" applyFill="1" applyBorder="1"/>
    <xf numFmtId="0" fontId="0" fillId="6" borderId="13" xfId="0" applyFill="1" applyBorder="1"/>
    <xf numFmtId="0" fontId="0" fillId="6" borderId="41" xfId="0" applyFill="1" applyBorder="1"/>
    <xf numFmtId="166" fontId="26" fillId="6" borderId="0" xfId="6" applyNumberFormat="1" applyFont="1" applyFill="1" applyBorder="1" applyAlignment="1">
      <alignment horizontal="left" vertical="center"/>
    </xf>
    <xf numFmtId="0" fontId="24" fillId="6" borderId="0" xfId="6" applyFont="1" applyFill="1" applyBorder="1" applyAlignment="1">
      <alignment vertical="center"/>
    </xf>
    <xf numFmtId="166" fontId="26" fillId="24" borderId="0" xfId="6" applyNumberFormat="1" applyFont="1" applyFill="1" applyBorder="1" applyAlignment="1">
      <alignment vertical="center"/>
    </xf>
    <xf numFmtId="0" fontId="8" fillId="7" borderId="16" xfId="6" applyFont="1" applyFill="1" applyBorder="1" applyAlignment="1">
      <alignment vertical="center"/>
    </xf>
    <xf numFmtId="0" fontId="8" fillId="7" borderId="38" xfId="6" applyFont="1" applyFill="1" applyBorder="1" applyAlignment="1">
      <alignment vertical="center"/>
    </xf>
    <xf numFmtId="166" fontId="26" fillId="7" borderId="39" xfId="6" applyNumberFormat="1" applyFont="1" applyFill="1" applyBorder="1" applyAlignment="1">
      <alignment vertical="center"/>
    </xf>
    <xf numFmtId="0" fontId="0" fillId="0" borderId="23" xfId="0" applyBorder="1"/>
    <xf numFmtId="0" fontId="0" fillId="0" borderId="3" xfId="0" applyBorder="1"/>
    <xf numFmtId="0" fontId="0" fillId="24" borderId="3" xfId="0" applyFill="1" applyBorder="1"/>
    <xf numFmtId="0" fontId="0" fillId="26" borderId="0" xfId="0" applyFill="1"/>
    <xf numFmtId="0" fontId="7" fillId="26"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24" borderId="39"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3" xfId="0" applyNumberFormat="1" applyBorder="1"/>
    <xf numFmtId="9" fontId="0" fillId="0" borderId="35" xfId="0" applyNumberFormat="1" applyBorder="1"/>
    <xf numFmtId="0" fontId="0" fillId="0" borderId="5" xfId="0" pivotButton="1" applyBorder="1"/>
    <xf numFmtId="0" fontId="4" fillId="3" borderId="1" xfId="0" quotePrefix="1" applyFont="1" applyFill="1" applyBorder="1" applyAlignment="1">
      <alignment horizontal="center" vertical="center" wrapText="1"/>
    </xf>
    <xf numFmtId="0" fontId="4" fillId="17" borderId="1" xfId="0" quotePrefix="1" applyFont="1" applyFill="1" applyBorder="1" applyAlignment="1">
      <alignment horizontal="center" vertical="center" wrapText="1"/>
    </xf>
    <xf numFmtId="1"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left" vertical="center"/>
    </xf>
    <xf numFmtId="0" fontId="21" fillId="0" borderId="1" xfId="0" applyNumberFormat="1" applyFont="1" applyFill="1" applyBorder="1" applyAlignment="1">
      <alignment horizontal="center" vertical="center"/>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1" xfId="0" applyBorder="1" applyAlignment="1">
      <alignment wrapText="1"/>
    </xf>
    <xf numFmtId="0" fontId="9" fillId="6" borderId="13" xfId="0" applyFont="1" applyFill="1" applyBorder="1"/>
    <xf numFmtId="0" fontId="8" fillId="6" borderId="0" xfId="0" applyFont="1" applyFill="1" applyBorder="1"/>
    <xf numFmtId="0" fontId="9" fillId="6" borderId="0" xfId="0" applyFont="1" applyFill="1" applyBorder="1"/>
    <xf numFmtId="0" fontId="37" fillId="6" borderId="0" xfId="0" applyFont="1" applyFill="1" applyBorder="1" applyAlignment="1"/>
    <xf numFmtId="0" fontId="9" fillId="6" borderId="14" xfId="0" applyFont="1" applyFill="1" applyBorder="1"/>
    <xf numFmtId="0" fontId="16" fillId="6" borderId="0" xfId="0" applyFont="1" applyFill="1" applyBorder="1" applyAlignment="1"/>
    <xf numFmtId="0" fontId="27" fillId="14" borderId="1" xfId="0" applyFont="1" applyFill="1" applyBorder="1" applyAlignment="1">
      <alignment horizontal="center" vertical="top" wrapText="1"/>
    </xf>
    <xf numFmtId="9" fontId="27" fillId="14" borderId="1" xfId="8" applyFont="1" applyFill="1" applyBorder="1" applyAlignment="1">
      <alignment horizontal="right" vertical="center" wrapText="1"/>
    </xf>
    <xf numFmtId="0" fontId="21"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6" borderId="0" xfId="0" applyFill="1"/>
    <xf numFmtId="0" fontId="0" fillId="6" borderId="0" xfId="0" applyFill="1" applyAlignment="1">
      <alignment horizontal="left"/>
    </xf>
    <xf numFmtId="0" fontId="0" fillId="6" borderId="0" xfId="0" applyNumberFormat="1" applyFill="1"/>
    <xf numFmtId="0" fontId="0" fillId="7" borderId="0" xfId="0" applyFill="1"/>
    <xf numFmtId="0" fontId="0" fillId="0" borderId="0" xfId="0" applyFill="1" applyBorder="1"/>
    <xf numFmtId="0" fontId="0" fillId="0" borderId="0" xfId="0" pivotButton="1"/>
    <xf numFmtId="0" fontId="0" fillId="24" borderId="0" xfId="0" applyFill="1" applyBorder="1"/>
    <xf numFmtId="0" fontId="0" fillId="24" borderId="38" xfId="0" applyFill="1" applyBorder="1"/>
    <xf numFmtId="0" fontId="0" fillId="24" borderId="23" xfId="0" applyFill="1" applyBorder="1"/>
    <xf numFmtId="0" fontId="0" fillId="24" borderId="35" xfId="0" applyFill="1" applyBorder="1"/>
    <xf numFmtId="0" fontId="0" fillId="0" borderId="35" xfId="0" applyBorder="1"/>
    <xf numFmtId="0" fontId="0" fillId="0" borderId="38" xfId="0" applyBorder="1"/>
    <xf numFmtId="0" fontId="0" fillId="0" borderId="23" xfId="0" applyBorder="1"/>
    <xf numFmtId="165" fontId="0" fillId="6" borderId="0" xfId="0" applyNumberFormat="1" applyFill="1" applyBorder="1"/>
    <xf numFmtId="0" fontId="0" fillId="6" borderId="4" xfId="0" applyFill="1" applyBorder="1" applyAlignment="1">
      <alignment horizontal="left" indent="1"/>
    </xf>
    <xf numFmtId="165" fontId="0" fillId="7" borderId="21" xfId="0" applyNumberFormat="1" applyFill="1" applyBorder="1" applyAlignment="1">
      <alignment horizontal="left"/>
    </xf>
    <xf numFmtId="165" fontId="0" fillId="7" borderId="39" xfId="0" applyNumberFormat="1" applyFill="1" applyBorder="1"/>
    <xf numFmtId="0" fontId="0" fillId="0" borderId="2" xfId="0" pivotButton="1" applyBorder="1"/>
    <xf numFmtId="0" fontId="0" fillId="0" borderId="3" xfId="0" applyBorder="1"/>
    <xf numFmtId="0" fontId="0" fillId="24" borderId="16" xfId="0" applyFill="1" applyBorder="1"/>
    <xf numFmtId="0" fontId="0" fillId="24" borderId="4" xfId="0" applyFill="1" applyBorder="1"/>
    <xf numFmtId="0" fontId="0" fillId="24" borderId="4" xfId="0" applyFill="1" applyBorder="1" applyAlignment="1">
      <alignment horizontal="left"/>
    </xf>
    <xf numFmtId="3" fontId="0" fillId="24" borderId="39" xfId="0" applyNumberFormat="1" applyFill="1" applyBorder="1"/>
    <xf numFmtId="3" fontId="0" fillId="24" borderId="15" xfId="0" applyNumberFormat="1" applyFill="1" applyBorder="1"/>
    <xf numFmtId="0" fontId="0" fillId="24" borderId="3" xfId="0" applyFill="1" applyBorder="1"/>
    <xf numFmtId="165" fontId="0" fillId="24" borderId="0" xfId="0" applyNumberFormat="1" applyFill="1" applyBorder="1"/>
    <xf numFmtId="165" fontId="0" fillId="26" borderId="4" xfId="0" applyNumberFormat="1" applyFill="1" applyBorder="1" applyAlignment="1">
      <alignment horizontal="left"/>
    </xf>
    <xf numFmtId="165" fontId="0" fillId="26" borderId="0" xfId="0" applyNumberFormat="1" applyFill="1" applyBorder="1"/>
    <xf numFmtId="165" fontId="0" fillId="26" borderId="35" xfId="0" applyNumberFormat="1" applyFill="1" applyBorder="1"/>
    <xf numFmtId="0" fontId="0" fillId="24" borderId="2" xfId="0" applyFill="1" applyBorder="1"/>
    <xf numFmtId="9" fontId="0" fillId="6" borderId="35" xfId="0" applyNumberFormat="1" applyFill="1" applyBorder="1"/>
    <xf numFmtId="0" fontId="0" fillId="6" borderId="4" xfId="0" applyFill="1" applyBorder="1" applyAlignment="1">
      <alignment horizontal="left"/>
    </xf>
    <xf numFmtId="9" fontId="0" fillId="7" borderId="15" xfId="0" applyNumberFormat="1" applyFill="1" applyBorder="1"/>
    <xf numFmtId="0" fontId="0" fillId="0" borderId="16" xfId="0" pivotButton="1" applyBorder="1"/>
    <xf numFmtId="0" fontId="0" fillId="0" borderId="38" xfId="0" pivotButton="1" applyBorder="1"/>
    <xf numFmtId="0" fontId="0" fillId="0" borderId="4" xfId="0" applyBorder="1" applyAlignment="1">
      <alignment horizontal="left"/>
    </xf>
    <xf numFmtId="165" fontId="0" fillId="0" borderId="39"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24" borderId="1" xfId="0" applyFill="1" applyBorder="1"/>
    <xf numFmtId="165" fontId="0" fillId="24" borderId="1" xfId="0" applyNumberFormat="1" applyFill="1" applyBorder="1"/>
    <xf numFmtId="0" fontId="5" fillId="0" borderId="0" xfId="0" applyFont="1" applyAlignment="1"/>
    <xf numFmtId="9" fontId="0" fillId="0" borderId="5" xfId="0" applyNumberFormat="1" applyBorder="1"/>
    <xf numFmtId="9" fontId="0" fillId="0" borderId="9" xfId="0" applyNumberFormat="1" applyBorder="1"/>
    <xf numFmtId="9" fontId="0" fillId="0" borderId="7" xfId="0" applyNumberFormat="1" applyBorder="1"/>
    <xf numFmtId="0" fontId="0" fillId="7" borderId="0" xfId="0" applyNumberFormat="1" applyFill="1"/>
    <xf numFmtId="0" fontId="0" fillId="7" borderId="0" xfId="0" applyFill="1" applyAlignment="1">
      <alignment horizontal="left"/>
    </xf>
    <xf numFmtId="165" fontId="0" fillId="24" borderId="15" xfId="0" applyNumberFormat="1" applyFill="1" applyBorder="1"/>
    <xf numFmtId="165" fontId="0" fillId="24" borderId="21" xfId="0" applyNumberFormat="1" applyFill="1" applyBorder="1" applyAlignment="1">
      <alignment horizontal="left"/>
    </xf>
    <xf numFmtId="165" fontId="0" fillId="24" borderId="39"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9" fillId="0" borderId="0" xfId="0" applyFont="1" applyAlignment="1"/>
    <xf numFmtId="0" fontId="0" fillId="6" borderId="3" xfId="0" applyFill="1" applyBorder="1"/>
    <xf numFmtId="0" fontId="0" fillId="6" borderId="2" xfId="0" applyFill="1" applyBorder="1"/>
    <xf numFmtId="0" fontId="0" fillId="24" borderId="38" xfId="0" applyFill="1" applyBorder="1" applyAlignment="1">
      <alignment vertical="center"/>
    </xf>
    <xf numFmtId="0" fontId="0" fillId="24" borderId="23" xfId="0" applyFill="1" applyBorder="1" applyAlignment="1">
      <alignment vertical="center"/>
    </xf>
    <xf numFmtId="0" fontId="0" fillId="0" borderId="0" xfId="0" applyBorder="1" applyAlignment="1">
      <alignment vertical="center"/>
    </xf>
    <xf numFmtId="0" fontId="0" fillId="24" borderId="15" xfId="0" applyFill="1" applyBorder="1" applyAlignment="1">
      <alignment vertical="center"/>
    </xf>
    <xf numFmtId="0" fontId="5" fillId="0" borderId="0" xfId="0" applyFont="1" applyFill="1" applyBorder="1" applyAlignment="1">
      <alignment vertical="center"/>
    </xf>
    <xf numFmtId="0" fontId="0" fillId="0" borderId="35" xfId="0" applyFill="1" applyBorder="1" applyAlignment="1">
      <alignment vertical="center"/>
    </xf>
    <xf numFmtId="0" fontId="0" fillId="0" borderId="0" xfId="0" applyAlignment="1">
      <alignment vertical="center" textRotation="90"/>
    </xf>
    <xf numFmtId="49" fontId="21" fillId="0" borderId="1" xfId="0" applyNumberFormat="1" applyFont="1" applyFill="1" applyBorder="1" applyAlignment="1">
      <alignment vertical="center"/>
    </xf>
    <xf numFmtId="49" fontId="21" fillId="0" borderId="1" xfId="0" applyNumberFormat="1" applyFont="1" applyFill="1" applyBorder="1" applyAlignment="1">
      <alignment vertical="center" wrapText="1"/>
    </xf>
    <xf numFmtId="49" fontId="21" fillId="0" borderId="2" xfId="0" applyNumberFormat="1" applyFont="1" applyFill="1" applyBorder="1" applyAlignment="1">
      <alignment vertical="center"/>
    </xf>
    <xf numFmtId="0" fontId="0" fillId="0" borderId="0" xfId="0" applyFill="1" applyAlignment="1">
      <alignment vertical="center"/>
    </xf>
    <xf numFmtId="0" fontId="21" fillId="0" borderId="1" xfId="0" applyFont="1" applyFill="1" applyBorder="1" applyAlignment="1">
      <alignment vertical="center"/>
    </xf>
    <xf numFmtId="0" fontId="0" fillId="0" borderId="0" xfId="0" applyAlignment="1">
      <alignment vertical="center"/>
    </xf>
    <xf numFmtId="0" fontId="21" fillId="0" borderId="1" xfId="0" applyNumberFormat="1" applyFont="1" applyFill="1" applyBorder="1" applyAlignment="1">
      <alignment horizontal="right" vertical="center"/>
    </xf>
    <xf numFmtId="0" fontId="21" fillId="0" borderId="2" xfId="0" applyFont="1" applyFill="1" applyBorder="1" applyAlignment="1">
      <alignment vertical="center"/>
    </xf>
    <xf numFmtId="0" fontId="9" fillId="0" borderId="0" xfId="0" applyFont="1" applyFill="1" applyAlignment="1">
      <alignment vertical="center"/>
    </xf>
    <xf numFmtId="1" fontId="0" fillId="0" borderId="0" xfId="0" applyNumberFormat="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168" fontId="21" fillId="0" borderId="2" xfId="1" applyNumberFormat="1" applyFont="1" applyFill="1" applyBorder="1" applyAlignment="1">
      <alignment vertical="center" wrapText="1"/>
    </xf>
    <xf numFmtId="0" fontId="21" fillId="0" borderId="1" xfId="0" quotePrefix="1" applyNumberFormat="1" applyFont="1" applyFill="1" applyBorder="1" applyAlignment="1">
      <alignment horizontal="center" vertical="center"/>
    </xf>
    <xf numFmtId="0" fontId="21" fillId="0" borderId="5" xfId="0" quotePrefix="1" applyNumberFormat="1" applyFont="1" applyFill="1" applyBorder="1" applyAlignment="1">
      <alignment horizontal="center" vertical="center"/>
    </xf>
    <xf numFmtId="0" fontId="21" fillId="0" borderId="1" xfId="0" quotePrefix="1" applyNumberFormat="1" applyFont="1" applyFill="1" applyBorder="1" applyAlignment="1">
      <alignment horizontal="right" vertical="center"/>
    </xf>
    <xf numFmtId="0" fontId="0" fillId="0" borderId="0" xfId="0" applyFill="1" applyAlignment="1">
      <alignment vertical="center" textRotation="90"/>
    </xf>
    <xf numFmtId="0" fontId="21" fillId="0" borderId="2" xfId="0" quotePrefix="1" applyFont="1" applyFill="1" applyBorder="1" applyAlignment="1">
      <alignment horizontal="left" vertical="center" wrapText="1"/>
    </xf>
    <xf numFmtId="0" fontId="0" fillId="0" borderId="3" xfId="0" applyFill="1" applyBorder="1"/>
    <xf numFmtId="0" fontId="0" fillId="0" borderId="21" xfId="0" applyFill="1" applyBorder="1" applyAlignment="1">
      <alignment horizontal="left"/>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2" fillId="24" borderId="38" xfId="6" applyFont="1" applyFill="1" applyBorder="1" applyAlignment="1">
      <alignment vertical="center"/>
    </xf>
    <xf numFmtId="0" fontId="12" fillId="24" borderId="3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2" fillId="24" borderId="38" xfId="6" applyFont="1" applyFill="1" applyBorder="1" applyAlignment="1">
      <alignment horizontal="right" vertical="center"/>
    </xf>
    <xf numFmtId="2" fontId="2" fillId="0" borderId="0" xfId="0" applyNumberFormat="1" applyFont="1" applyAlignment="1">
      <alignment horizontal="right"/>
    </xf>
    <xf numFmtId="14" fontId="12" fillId="24" borderId="38" xfId="6" applyNumberFormat="1" applyFont="1" applyFill="1" applyBorder="1" applyAlignment="1">
      <alignment horizontal="right" vertical="center"/>
    </xf>
    <xf numFmtId="1" fontId="12" fillId="24" borderId="38" xfId="6" applyNumberFormat="1" applyFont="1" applyFill="1" applyBorder="1" applyAlignment="1">
      <alignment horizontal="right" vertical="center"/>
    </xf>
    <xf numFmtId="14" fontId="2" fillId="0" borderId="0" xfId="0" applyNumberFormat="1" applyFont="1" applyAlignment="1">
      <alignment horizontal="right"/>
    </xf>
    <xf numFmtId="1" fontId="2" fillId="0" borderId="0" xfId="0" applyNumberFormat="1" applyFont="1" applyAlignment="1">
      <alignment horizontal="right"/>
    </xf>
    <xf numFmtId="0" fontId="2" fillId="24" borderId="38" xfId="0" applyFont="1" applyFill="1" applyBorder="1" applyAlignment="1"/>
    <xf numFmtId="165" fontId="2" fillId="24" borderId="38" xfId="7" applyNumberFormat="1" applyFont="1" applyFill="1" applyBorder="1" applyAlignment="1"/>
    <xf numFmtId="165" fontId="2" fillId="0" borderId="0" xfId="7" applyNumberFormat="1" applyFont="1" applyAlignment="1"/>
    <xf numFmtId="0" fontId="2" fillId="24" borderId="23" xfId="0" applyFont="1" applyFill="1" applyBorder="1" applyAlignment="1">
      <alignment horizontal="right"/>
    </xf>
    <xf numFmtId="9" fontId="35" fillId="4" borderId="0" xfId="8" applyFont="1" applyFill="1" applyBorder="1"/>
    <xf numFmtId="0" fontId="9"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44"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0" fontId="44" fillId="10" borderId="0" xfId="5" applyFont="1" applyFill="1" applyBorder="1" applyAlignment="1">
      <alignment horizontal="center" vertical="center"/>
    </xf>
    <xf numFmtId="0" fontId="2" fillId="24" borderId="38" xfId="0" applyFont="1" applyFill="1" applyBorder="1" applyAlignment="1">
      <alignment horizontal="left" wrapText="1"/>
    </xf>
    <xf numFmtId="0" fontId="2" fillId="0" borderId="0" xfId="0" applyFont="1" applyAlignment="1">
      <alignment horizontal="left" wrapText="1"/>
    </xf>
    <xf numFmtId="0" fontId="4" fillId="0" borderId="0" xfId="0" applyFont="1" applyFill="1" applyAlignment="1">
      <alignment horizontal="center" vertical="center"/>
    </xf>
    <xf numFmtId="0" fontId="0" fillId="6" borderId="0" xfId="0" applyFill="1" applyBorder="1" applyAlignment="1">
      <alignment vertical="center"/>
    </xf>
    <xf numFmtId="49" fontId="9" fillId="28"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8"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0" fontId="2" fillId="0" borderId="0" xfId="0" applyFont="1" applyFill="1"/>
    <xf numFmtId="0" fontId="5" fillId="0" borderId="0" xfId="0" applyFont="1" applyFill="1"/>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165" fontId="44" fillId="10" borderId="0" xfId="7" applyNumberFormat="1" applyFont="1" applyFill="1" applyBorder="1" applyAlignment="1">
      <alignment horizontal="center" vertical="center"/>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49" fontId="9" fillId="0" borderId="0" xfId="0" applyNumberFormat="1" applyFont="1" applyBorder="1" applyAlignment="1">
      <alignment vertical="center"/>
    </xf>
    <xf numFmtId="14" fontId="9" fillId="0" borderId="0" xfId="0" applyNumberFormat="1" applyFont="1" applyBorder="1" applyAlignment="1" applyProtection="1">
      <alignment horizontal="right" vertical="center"/>
    </xf>
    <xf numFmtId="0" fontId="9" fillId="0" borderId="0" xfId="13" applyFont="1" applyFill="1" applyBorder="1" applyAlignment="1">
      <alignment horizontal="left" vertical="center"/>
    </xf>
    <xf numFmtId="0" fontId="9" fillId="0" borderId="0" xfId="0" applyNumberFormat="1" applyFont="1" applyBorder="1" applyAlignment="1">
      <alignment horizontal="righ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Border="1" applyAlignment="1">
      <alignment horizontal="righ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4" fontId="9" fillId="0" borderId="0" xfId="0" applyNumberFormat="1" applyFont="1" applyBorder="1" applyAlignment="1">
      <alignment horizontal="right" vertical="center"/>
    </xf>
    <xf numFmtId="49" fontId="9" fillId="0" borderId="0" xfId="0" applyNumberFormat="1" applyFont="1" applyBorder="1" applyAlignment="1">
      <alignment horizontal="right" vertical="center"/>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49" fontId="9" fillId="12" borderId="0" xfId="11"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24" borderId="16" xfId="0" applyFill="1" applyBorder="1" applyAlignment="1">
      <alignment vertical="center"/>
    </xf>
    <xf numFmtId="0" fontId="32" fillId="24" borderId="4" xfId="0" applyFont="1" applyFill="1" applyBorder="1" applyAlignment="1">
      <alignment vertical="center"/>
    </xf>
    <xf numFmtId="0" fontId="32" fillId="24" borderId="0" xfId="0" applyFont="1" applyFill="1" applyBorder="1" applyAlignment="1">
      <alignment vertical="center"/>
    </xf>
    <xf numFmtId="0" fontId="32" fillId="24" borderId="35" xfId="0" applyFont="1" applyFill="1" applyBorder="1" applyAlignment="1">
      <alignment vertical="center"/>
    </xf>
    <xf numFmtId="0" fontId="32" fillId="0" borderId="0" xfId="0" applyFont="1" applyFill="1" applyBorder="1" applyAlignment="1">
      <alignment vertical="center"/>
    </xf>
    <xf numFmtId="0" fontId="32" fillId="24" borderId="39" xfId="0" applyFont="1" applyFill="1" applyBorder="1" applyAlignment="1">
      <alignment vertical="center"/>
    </xf>
    <xf numFmtId="0" fontId="32" fillId="24"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5" xfId="0" applyNumberFormat="1" applyBorder="1" applyAlignment="1">
      <alignment vertical="center"/>
    </xf>
    <xf numFmtId="0" fontId="44" fillId="22" borderId="21" xfId="0" applyFont="1" applyFill="1" applyBorder="1" applyAlignment="1">
      <alignment vertical="center"/>
    </xf>
    <xf numFmtId="0" fontId="44" fillId="22" borderId="39" xfId="0" applyFont="1" applyFill="1" applyBorder="1" applyAlignment="1">
      <alignment vertical="center"/>
    </xf>
    <xf numFmtId="165" fontId="44" fillId="22" borderId="39" xfId="0" applyNumberFormat="1" applyFont="1" applyFill="1" applyBorder="1" applyAlignment="1">
      <alignment vertical="center"/>
    </xf>
    <xf numFmtId="165" fontId="44" fillId="22" borderId="15" xfId="0" applyNumberFormat="1" applyFont="1" applyFill="1" applyBorder="1" applyAlignment="1">
      <alignment vertical="center"/>
    </xf>
    <xf numFmtId="0" fontId="10" fillId="27" borderId="0" xfId="0" applyFont="1" applyFill="1" applyBorder="1" applyAlignment="1">
      <alignment horizontal="left" vertical="center"/>
    </xf>
    <xf numFmtId="0" fontId="10" fillId="27" borderId="0" xfId="0" applyFont="1" applyFill="1" applyBorder="1" applyAlignment="1">
      <alignment horizontal="center" vertical="center"/>
    </xf>
    <xf numFmtId="0" fontId="47" fillId="17" borderId="0" xfId="0" applyFont="1" applyFill="1" applyBorder="1" applyAlignment="1">
      <alignment vertical="center"/>
    </xf>
    <xf numFmtId="0" fontId="4" fillId="1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6"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49" fillId="0" borderId="0" xfId="0" applyFont="1" applyFill="1"/>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0" fillId="0" borderId="0" xfId="0" applyFill="1" applyAlignment="1"/>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0" fillId="0" borderId="0" xfId="0" applyFill="1" applyAlignment="1">
      <alignment wrapText="1"/>
    </xf>
    <xf numFmtId="0" fontId="2" fillId="0" borderId="0" xfId="0" applyFont="1" applyFill="1" applyAlignment="1"/>
    <xf numFmtId="1" fontId="2" fillId="0" borderId="0" xfId="0" applyNumberFormat="1" applyFont="1" applyFill="1" applyAlignment="1"/>
    <xf numFmtId="0" fontId="0" fillId="0" borderId="0" xfId="0" applyFont="1" applyFill="1"/>
    <xf numFmtId="0" fontId="3" fillId="0" borderId="16" xfId="0" pivotButton="1" applyFont="1" applyBorder="1" applyAlignment="1">
      <alignment horizontal="center" vertical="center" wrapText="1"/>
    </xf>
    <xf numFmtId="0" fontId="3" fillId="0" borderId="38" xfId="0" pivotButton="1" applyFont="1" applyBorder="1" applyAlignment="1">
      <alignment horizontal="center" vertical="center" wrapText="1"/>
    </xf>
    <xf numFmtId="0" fontId="3" fillId="0" borderId="38" xfId="0" pivotButton="1" applyFont="1" applyBorder="1" applyAlignment="1">
      <alignment vertical="center" wrapText="1"/>
    </xf>
    <xf numFmtId="165" fontId="3" fillId="0" borderId="38"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6" borderId="0" xfId="8" applyFont="1" applyFill="1"/>
    <xf numFmtId="0" fontId="9" fillId="0" borderId="0" xfId="0" applyFont="1" applyAlignment="1">
      <alignment vertical="center" textRotation="90"/>
    </xf>
    <xf numFmtId="0" fontId="9" fillId="0" borderId="0" xfId="0" applyFont="1" applyFill="1" applyAlignment="1">
      <alignment vertical="center" textRotation="90"/>
    </xf>
    <xf numFmtId="0" fontId="9" fillId="0" borderId="0" xfId="0" applyFont="1" applyFill="1" applyAlignment="1">
      <alignment horizontal="left" vertical="center" wrapText="1"/>
    </xf>
    <xf numFmtId="0" fontId="50" fillId="19" borderId="0" xfId="0" applyFont="1" applyFill="1" applyBorder="1"/>
    <xf numFmtId="0" fontId="50" fillId="0" borderId="0" xfId="0" applyFont="1" applyFill="1" applyBorder="1"/>
    <xf numFmtId="2" fontId="50" fillId="19" borderId="0" xfId="0" applyNumberFormat="1" applyFont="1" applyFill="1" applyBorder="1"/>
    <xf numFmtId="2" fontId="50" fillId="0" borderId="0" xfId="0" applyNumberFormat="1" applyFont="1" applyFill="1" applyBorder="1"/>
    <xf numFmtId="9" fontId="50" fillId="0" borderId="0" xfId="8" applyFont="1" applyFill="1" applyBorder="1"/>
    <xf numFmtId="0" fontId="51" fillId="0" borderId="17" xfId="0" applyNumberFormat="1" applyFont="1" applyFill="1" applyBorder="1"/>
    <xf numFmtId="1" fontId="51" fillId="0" borderId="2" xfId="0" applyNumberFormat="1" applyFont="1" applyFill="1" applyBorder="1"/>
    <xf numFmtId="0" fontId="9" fillId="29" borderId="0" xfId="0" applyFont="1" applyFill="1"/>
    <xf numFmtId="0" fontId="9" fillId="29" borderId="0" xfId="0" applyFont="1" applyFill="1" applyAlignment="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1" fontId="21" fillId="0" borderId="5" xfId="0" applyNumberFormat="1" applyFont="1" applyFill="1" applyBorder="1" applyAlignment="1">
      <alignment horizontal="center" vertical="center"/>
    </xf>
    <xf numFmtId="1" fontId="21" fillId="0" borderId="1" xfId="0" quotePrefix="1" applyNumberFormat="1" applyFont="1" applyFill="1" applyBorder="1" applyAlignment="1">
      <alignment horizontal="center" vertical="center"/>
    </xf>
    <xf numFmtId="1" fontId="21" fillId="0" borderId="5" xfId="0" quotePrefix="1" applyNumberFormat="1" applyFont="1" applyFill="1" applyBorder="1" applyAlignment="1">
      <alignment horizontal="center" vertical="center"/>
    </xf>
    <xf numFmtId="0" fontId="9" fillId="0" borderId="46" xfId="0" applyFont="1" applyFill="1" applyBorder="1" applyAlignment="1">
      <alignment horizontal="left" vertical="center"/>
    </xf>
    <xf numFmtId="2" fontId="9" fillId="0" borderId="46" xfId="0" applyNumberFormat="1" applyFont="1" applyFill="1" applyBorder="1" applyAlignment="1">
      <alignment horizontal="right" vertical="center"/>
    </xf>
    <xf numFmtId="49" fontId="9" fillId="0" borderId="46" xfId="0" applyNumberFormat="1" applyFont="1" applyFill="1" applyBorder="1" applyAlignment="1">
      <alignment vertical="center"/>
    </xf>
    <xf numFmtId="0" fontId="0" fillId="0" borderId="0" xfId="0" applyFill="1" applyAlignment="1">
      <alignment horizontal="righ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0" fontId="2" fillId="0" borderId="0" xfId="0" applyFont="1" applyFill="1" applyBorder="1" applyAlignment="1">
      <alignment horizontal="right" vertical="center"/>
    </xf>
    <xf numFmtId="0" fontId="0" fillId="0" borderId="0" xfId="0" applyFill="1" applyBorder="1" applyAlignment="1">
      <alignment horizontal="right"/>
    </xf>
    <xf numFmtId="0" fontId="0" fillId="0" borderId="0" xfId="0" applyFill="1" applyAlignment="1">
      <alignment horizontal="right" wrapText="1"/>
    </xf>
    <xf numFmtId="0" fontId="9" fillId="12" borderId="0" xfId="0" applyFont="1" applyFill="1"/>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9" fillId="30" borderId="0" xfId="11" applyFont="1" applyFill="1" applyAlignment="1">
      <alignment horizontal="left" vertical="center" wrapText="1"/>
    </xf>
    <xf numFmtId="49" fontId="9" fillId="30" borderId="0" xfId="0" applyNumberFormat="1" applyFont="1" applyFill="1" applyBorder="1" applyAlignment="1">
      <alignment horizontal="left" vertical="center"/>
    </xf>
    <xf numFmtId="0" fontId="9" fillId="30" borderId="0" xfId="0" applyFont="1" applyFill="1" applyAlignment="1">
      <alignment horizontal="left" vertical="center"/>
    </xf>
    <xf numFmtId="0" fontId="9" fillId="30" borderId="0" xfId="0" applyNumberFormat="1" applyFont="1" applyFill="1" applyAlignment="1">
      <alignment horizontal="left" vertical="center"/>
    </xf>
    <xf numFmtId="0" fontId="48" fillId="30" borderId="0" xfId="0" applyFont="1" applyFill="1"/>
    <xf numFmtId="0" fontId="9" fillId="30" borderId="0" xfId="0" applyFont="1" applyFill="1" applyBorder="1" applyAlignment="1">
      <alignment horizontal="left" vertical="center"/>
    </xf>
    <xf numFmtId="0" fontId="9" fillId="30" borderId="0" xfId="0" applyFont="1" applyFill="1" applyAlignment="1">
      <alignment horizontal="right" vertical="center"/>
    </xf>
    <xf numFmtId="1" fontId="9" fillId="30" borderId="0" xfId="0" applyNumberFormat="1" applyFont="1" applyFill="1" applyAlignment="1">
      <alignment horizontal="right" vertical="center"/>
    </xf>
    <xf numFmtId="0" fontId="0" fillId="30" borderId="0" xfId="0" applyFill="1" applyBorder="1" applyAlignment="1">
      <alignment horizontal="right"/>
    </xf>
    <xf numFmtId="2" fontId="9" fillId="30" borderId="0" xfId="0" applyNumberFormat="1" applyFont="1" applyFill="1" applyAlignment="1">
      <alignment horizontal="right" vertical="center"/>
    </xf>
    <xf numFmtId="0" fontId="9" fillId="30" borderId="0" xfId="0" applyFont="1" applyFill="1" applyBorder="1" applyAlignment="1">
      <alignment vertical="center"/>
    </xf>
    <xf numFmtId="49" fontId="9" fillId="30" borderId="0" xfId="0" applyNumberFormat="1" applyFont="1" applyFill="1" applyAlignment="1">
      <alignment vertical="center"/>
    </xf>
    <xf numFmtId="0" fontId="9" fillId="30" borderId="0" xfId="0" applyFont="1" applyFill="1" applyAlignment="1">
      <alignment vertical="center"/>
    </xf>
    <xf numFmtId="14" fontId="9" fillId="30" borderId="0" xfId="0" applyNumberFormat="1" applyFont="1" applyFill="1" applyAlignment="1">
      <alignment horizontal="right" vertical="center"/>
    </xf>
    <xf numFmtId="15" fontId="9" fillId="30" borderId="0" xfId="0" applyNumberFormat="1" applyFont="1" applyFill="1" applyAlignment="1">
      <alignment horizontal="right" vertical="center"/>
    </xf>
    <xf numFmtId="15" fontId="9" fillId="30" borderId="0" xfId="0" applyNumberFormat="1" applyFont="1" applyFill="1" applyAlignment="1">
      <alignment horizontal="left" vertical="center" wrapText="1"/>
    </xf>
    <xf numFmtId="0" fontId="9" fillId="30" borderId="0" xfId="0" applyNumberFormat="1" applyFont="1" applyFill="1" applyAlignment="1">
      <alignment vertical="center"/>
    </xf>
    <xf numFmtId="165" fontId="9" fillId="30" borderId="0" xfId="7" applyNumberFormat="1" applyFont="1" applyFill="1" applyAlignment="1">
      <alignment vertical="center"/>
    </xf>
    <xf numFmtId="0" fontId="9" fillId="30" borderId="0" xfId="0" applyNumberFormat="1" applyFont="1" applyFill="1" applyAlignment="1">
      <alignment horizontal="right"/>
    </xf>
    <xf numFmtId="0" fontId="9" fillId="30" borderId="0" xfId="0" applyFont="1" applyFill="1"/>
    <xf numFmtId="0" fontId="2" fillId="30" borderId="0" xfId="0" applyFont="1" applyFill="1"/>
    <xf numFmtId="0" fontId="5" fillId="30" borderId="0" xfId="0" applyFont="1" applyFill="1"/>
    <xf numFmtId="49" fontId="9" fillId="30" borderId="0" xfId="11" applyNumberFormat="1" applyFont="1" applyFill="1" applyBorder="1" applyAlignment="1">
      <alignment horizontal="left" vertical="center" wrapText="1"/>
    </xf>
    <xf numFmtId="49" fontId="9" fillId="30" borderId="0" xfId="0" applyNumberFormat="1" applyFont="1" applyFill="1" applyBorder="1" applyAlignment="1">
      <alignment horizontal="left" vertical="center" wrapText="1"/>
    </xf>
    <xf numFmtId="0" fontId="9" fillId="30" borderId="0" xfId="13" applyFont="1" applyFill="1" applyBorder="1" applyAlignment="1">
      <alignment horizontal="right" vertical="center"/>
    </xf>
    <xf numFmtId="0" fontId="9" fillId="30" borderId="0" xfId="0" applyNumberFormat="1" applyFont="1" applyFill="1" applyBorder="1" applyAlignment="1">
      <alignment horizontal="right" vertical="center"/>
    </xf>
    <xf numFmtId="0" fontId="0" fillId="30" borderId="0" xfId="0" applyFill="1" applyAlignment="1">
      <alignment horizontal="right" vertical="center"/>
    </xf>
    <xf numFmtId="2" fontId="9" fillId="30" borderId="0" xfId="0" applyNumberFormat="1" applyFont="1" applyFill="1" applyBorder="1" applyAlignment="1">
      <alignment horizontal="right" vertical="center"/>
    </xf>
    <xf numFmtId="49" fontId="9" fillId="30" borderId="0" xfId="0" applyNumberFormat="1" applyFont="1" applyFill="1" applyBorder="1" applyAlignment="1">
      <alignment vertical="center"/>
    </xf>
    <xf numFmtId="173" fontId="9" fillId="30" borderId="0" xfId="0" applyNumberFormat="1" applyFont="1" applyFill="1" applyBorder="1" applyAlignment="1" applyProtection="1">
      <alignment horizontal="right" vertical="center"/>
    </xf>
    <xf numFmtId="14" fontId="9" fillId="30" borderId="0" xfId="0" applyNumberFormat="1" applyFont="1" applyFill="1" applyBorder="1" applyAlignment="1" applyProtection="1">
      <alignment horizontal="right" vertical="center"/>
    </xf>
    <xf numFmtId="49" fontId="9" fillId="30" borderId="0" xfId="11" applyNumberFormat="1" applyFont="1" applyFill="1" applyBorder="1" applyAlignment="1">
      <alignment horizontal="left" vertical="center"/>
    </xf>
    <xf numFmtId="49" fontId="9" fillId="30" borderId="0" xfId="0" applyNumberFormat="1" applyFont="1" applyFill="1" applyBorder="1" applyAlignment="1">
      <alignment horizontal="right" vertical="center"/>
    </xf>
    <xf numFmtId="15" fontId="9" fillId="30" borderId="0" xfId="0" applyNumberFormat="1" applyFont="1" applyFill="1" applyBorder="1" applyAlignment="1">
      <alignment horizontal="right" vertical="center"/>
    </xf>
    <xf numFmtId="165" fontId="9" fillId="30" borderId="0" xfId="7" applyNumberFormat="1" applyFont="1" applyFill="1" applyBorder="1" applyAlignment="1">
      <alignment vertical="center"/>
    </xf>
    <xf numFmtId="49" fontId="9" fillId="30" borderId="0" xfId="0" applyNumberFormat="1" applyFont="1" applyFill="1" applyBorder="1" applyAlignment="1">
      <alignment horizontal="right"/>
    </xf>
    <xf numFmtId="0" fontId="9" fillId="30" borderId="0" xfId="0" applyFont="1" applyFill="1" applyBorder="1" applyAlignment="1">
      <alignment horizontal="right" vertical="center"/>
    </xf>
    <xf numFmtId="1" fontId="9" fillId="30" borderId="0" xfId="0" applyNumberFormat="1" applyFont="1" applyFill="1" applyBorder="1" applyAlignment="1">
      <alignment horizontal="right" vertical="center"/>
    </xf>
    <xf numFmtId="0" fontId="9" fillId="30" borderId="0" xfId="0" applyNumberFormat="1" applyFont="1" applyFill="1" applyBorder="1" applyAlignment="1">
      <alignment horizontal="right"/>
    </xf>
    <xf numFmtId="0" fontId="53" fillId="0" borderId="1" xfId="0" applyFont="1" applyFill="1" applyBorder="1" applyAlignment="1">
      <alignment vertical="center"/>
    </xf>
    <xf numFmtId="1" fontId="53" fillId="0" borderId="1" xfId="0" applyNumberFormat="1" applyFont="1" applyFill="1" applyBorder="1" applyAlignment="1">
      <alignment horizontal="center" vertical="center"/>
    </xf>
    <xf numFmtId="1" fontId="53" fillId="0" borderId="5" xfId="0" applyNumberFormat="1" applyFont="1" applyFill="1" applyBorder="1" applyAlignment="1">
      <alignment horizontal="center" vertical="center"/>
    </xf>
    <xf numFmtId="0" fontId="53" fillId="0" borderId="1" xfId="0" applyNumberFormat="1" applyFont="1" applyFill="1" applyBorder="1" applyAlignment="1">
      <alignment horizontal="center" vertical="center"/>
    </xf>
    <xf numFmtId="0" fontId="53" fillId="0" borderId="5" xfId="0" applyNumberFormat="1" applyFont="1" applyFill="1" applyBorder="1" applyAlignment="1">
      <alignment horizontal="center" vertical="center"/>
    </xf>
    <xf numFmtId="0" fontId="53" fillId="0" borderId="1" xfId="0" applyNumberFormat="1" applyFont="1" applyFill="1" applyBorder="1" applyAlignment="1">
      <alignment horizontal="right" vertical="center"/>
    </xf>
    <xf numFmtId="0" fontId="53" fillId="0" borderId="5" xfId="0" applyFont="1" applyFill="1" applyBorder="1" applyAlignment="1">
      <alignment vertical="center"/>
    </xf>
    <xf numFmtId="49" fontId="53" fillId="0" borderId="2" xfId="0" applyNumberFormat="1" applyFont="1" applyFill="1" applyBorder="1" applyAlignment="1">
      <alignment vertical="center"/>
    </xf>
    <xf numFmtId="0" fontId="0" fillId="30" borderId="0" xfId="0" applyFill="1" applyBorder="1" applyAlignment="1"/>
    <xf numFmtId="0" fontId="0" fillId="21" borderId="4" xfId="0" applyFill="1" applyBorder="1" applyAlignment="1">
      <alignment horizontal="left" indent="1"/>
    </xf>
    <xf numFmtId="0" fontId="5" fillId="0" borderId="0" xfId="0" applyFont="1" applyBorder="1" applyAlignment="1">
      <alignment vertical="center"/>
    </xf>
    <xf numFmtId="0" fontId="13" fillId="6" borderId="0" xfId="0" applyFont="1" applyFill="1" applyBorder="1" applyAlignment="1">
      <alignment horizontal="center" vertical="center"/>
    </xf>
    <xf numFmtId="165" fontId="14" fillId="6" borderId="0" xfId="7" applyNumberFormat="1" applyFont="1" applyFill="1" applyBorder="1" applyAlignment="1">
      <alignment vertical="center"/>
    </xf>
    <xf numFmtId="165" fontId="0" fillId="0" borderId="0" xfId="0" applyNumberFormat="1" applyFont="1" applyBorder="1" applyAlignment="1">
      <alignment vertical="center"/>
    </xf>
    <xf numFmtId="0" fontId="0" fillId="6" borderId="0" xfId="0" applyFont="1" applyFill="1" applyBorder="1" applyAlignment="1">
      <alignment vertical="center"/>
    </xf>
    <xf numFmtId="165" fontId="0" fillId="6" borderId="0" xfId="7" applyNumberFormat="1" applyFont="1" applyFill="1" applyBorder="1" applyAlignment="1">
      <alignment vertical="center"/>
    </xf>
    <xf numFmtId="165" fontId="3" fillId="6" borderId="0" xfId="0" applyNumberFormat="1" applyFont="1" applyFill="1" applyBorder="1" applyAlignment="1">
      <alignment vertical="center"/>
    </xf>
    <xf numFmtId="173" fontId="9" fillId="0" borderId="0" xfId="0" applyNumberFormat="1" applyFont="1" applyFill="1" applyAlignment="1">
      <alignment horizontal="right" vertical="center"/>
    </xf>
    <xf numFmtId="0" fontId="2" fillId="0" borderId="0" xfId="0" applyFont="1" applyFill="1" applyBorder="1" applyAlignment="1">
      <alignment horizontal="left"/>
    </xf>
    <xf numFmtId="0" fontId="2" fillId="0" borderId="0" xfId="0" applyFont="1" applyFill="1" applyAlignment="1">
      <alignment horizontal="right"/>
    </xf>
    <xf numFmtId="2" fontId="2" fillId="0" borderId="0" xfId="0" applyNumberFormat="1" applyFont="1" applyFill="1" applyAlignment="1">
      <alignment horizontal="right"/>
    </xf>
    <xf numFmtId="0" fontId="5" fillId="0" borderId="0" xfId="0" applyFont="1" applyFill="1" applyAlignment="1"/>
    <xf numFmtId="14" fontId="2" fillId="0" borderId="0" xfId="0" applyNumberFormat="1" applyFont="1" applyFill="1" applyAlignment="1">
      <alignment horizontal="right"/>
    </xf>
    <xf numFmtId="1" fontId="2" fillId="0" borderId="0" xfId="0" applyNumberFormat="1" applyFont="1" applyFill="1" applyAlignment="1">
      <alignment horizontal="right"/>
    </xf>
    <xf numFmtId="0" fontId="2" fillId="0" borderId="0" xfId="0" applyFont="1" applyFill="1" applyAlignment="1">
      <alignment horizontal="left" wrapText="1"/>
    </xf>
    <xf numFmtId="165" fontId="2" fillId="0" borderId="0" xfId="7" applyNumberFormat="1" applyFont="1" applyFill="1" applyAlignment="1"/>
    <xf numFmtId="174" fontId="9" fillId="0" borderId="0" xfId="11" applyNumberFormat="1" applyFont="1" applyFill="1" applyBorder="1" applyAlignment="1">
      <alignment horizontal="right" vertical="center" wrapText="1"/>
    </xf>
    <xf numFmtId="0" fontId="44" fillId="0" borderId="0" xfId="0" applyFont="1" applyFill="1" applyBorder="1"/>
    <xf numFmtId="0" fontId="44" fillId="0" borderId="0" xfId="0" applyFont="1" applyFill="1" applyBorder="1" applyAlignment="1">
      <alignment horizontal="center" vertical="center"/>
    </xf>
    <xf numFmtId="0" fontId="44" fillId="0" borderId="0" xfId="11" applyNumberFormat="1" applyFont="1" applyFill="1" applyBorder="1" applyAlignment="1">
      <alignment vertical="center"/>
    </xf>
    <xf numFmtId="1" fontId="44" fillId="0" borderId="0" xfId="11" applyNumberFormat="1" applyFont="1" applyFill="1" applyBorder="1" applyAlignment="1">
      <alignment vertical="center"/>
    </xf>
    <xf numFmtId="0" fontId="44" fillId="29" borderId="0" xfId="0" applyFont="1" applyFill="1" applyBorder="1"/>
    <xf numFmtId="0" fontId="44" fillId="12" borderId="0" xfId="0" applyFont="1" applyFill="1" applyBorder="1"/>
    <xf numFmtId="0" fontId="44" fillId="0" borderId="0" xfId="0" applyFont="1" applyFill="1" applyBorder="1" applyAlignment="1"/>
    <xf numFmtId="0" fontId="44" fillId="29" borderId="0" xfId="0" applyFont="1" applyFill="1" applyBorder="1" applyAlignment="1"/>
    <xf numFmtId="0" fontId="44" fillId="30" borderId="0" xfId="0" applyFont="1" applyFill="1" applyBorder="1"/>
    <xf numFmtId="0" fontId="53" fillId="0" borderId="2" xfId="0" applyFont="1" applyFill="1" applyBorder="1" applyAlignment="1">
      <alignment vertical="center"/>
    </xf>
    <xf numFmtId="0" fontId="19" fillId="0" borderId="0" xfId="0" applyFont="1" applyFill="1" applyProtection="1">
      <protection locked="0"/>
    </xf>
    <xf numFmtId="0" fontId="19" fillId="0" borderId="45" xfId="0" applyFont="1" applyFill="1" applyBorder="1" applyAlignment="1" applyProtection="1">
      <alignment horizontal="center" vertical="center"/>
      <protection locked="0"/>
    </xf>
    <xf numFmtId="0" fontId="46" fillId="31" borderId="17" xfId="0" applyFont="1" applyFill="1" applyBorder="1" applyAlignment="1" applyProtection="1">
      <alignment horizontal="center"/>
      <protection locked="0"/>
    </xf>
    <xf numFmtId="0" fontId="46" fillId="31" borderId="1" xfId="0" applyFont="1" applyFill="1" applyBorder="1" applyAlignment="1" applyProtection="1">
      <alignment horizontal="center"/>
      <protection locked="0"/>
    </xf>
    <xf numFmtId="0" fontId="46" fillId="31" borderId="18" xfId="0" applyFont="1" applyFill="1" applyBorder="1" applyAlignment="1" applyProtection="1">
      <alignment horizontal="center"/>
      <protection locked="0"/>
    </xf>
    <xf numFmtId="0" fontId="22" fillId="32" borderId="17" xfId="0" applyFont="1" applyFill="1" applyBorder="1" applyAlignment="1" applyProtection="1">
      <alignment horizontal="center"/>
      <protection locked="0"/>
    </xf>
    <xf numFmtId="0" fontId="22" fillId="32" borderId="1" xfId="0" applyFont="1" applyFill="1" applyBorder="1" applyAlignment="1" applyProtection="1">
      <alignment horizontal="center"/>
      <protection locked="0"/>
    </xf>
    <xf numFmtId="0" fontId="22" fillId="23" borderId="18" xfId="0" applyFont="1" applyFill="1" applyBorder="1" applyAlignment="1" applyProtection="1">
      <alignment horizontal="center"/>
      <protection locked="0"/>
    </xf>
    <xf numFmtId="0" fontId="55" fillId="8" borderId="17" xfId="0" applyFont="1" applyFill="1" applyBorder="1" applyAlignment="1" applyProtection="1">
      <alignment horizontal="center"/>
    </xf>
    <xf numFmtId="0" fontId="55" fillId="8" borderId="1" xfId="0" applyFont="1" applyFill="1" applyBorder="1" applyAlignment="1" applyProtection="1">
      <alignment horizontal="center"/>
    </xf>
    <xf numFmtId="0" fontId="55" fillId="8" borderId="18" xfId="0" applyFont="1" applyFill="1" applyBorder="1" applyAlignment="1" applyProtection="1">
      <alignment horizontal="center"/>
    </xf>
    <xf numFmtId="0" fontId="19" fillId="0" borderId="31"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6" fillId="0" borderId="18" xfId="0" applyFont="1" applyFill="1" applyBorder="1" applyProtection="1">
      <protection locked="0"/>
    </xf>
    <xf numFmtId="0" fontId="57" fillId="31" borderId="17" xfId="0" applyFont="1" applyFill="1" applyBorder="1" applyProtection="1">
      <protection locked="0"/>
    </xf>
    <xf numFmtId="0" fontId="57" fillId="31" borderId="1" xfId="0" applyFont="1" applyFill="1" applyBorder="1" applyAlignment="1" applyProtection="1">
      <alignment horizontal="right" vertical="center"/>
      <protection locked="0"/>
    </xf>
    <xf numFmtId="0" fontId="57" fillId="31" borderId="18" xfId="0" applyFont="1" applyFill="1" applyBorder="1" applyAlignment="1" applyProtection="1">
      <alignment horizontal="right" vertical="center"/>
      <protection locked="0"/>
    </xf>
    <xf numFmtId="0" fontId="19" fillId="32" borderId="17" xfId="0" applyFont="1" applyFill="1" applyBorder="1" applyProtection="1">
      <protection locked="0"/>
    </xf>
    <xf numFmtId="0" fontId="19" fillId="32" borderId="1" xfId="0" applyFont="1" applyFill="1" applyBorder="1" applyProtection="1">
      <protection locked="0"/>
    </xf>
    <xf numFmtId="0" fontId="19" fillId="23" borderId="18" xfId="0" applyFont="1" applyFill="1" applyBorder="1" applyProtection="1">
      <protection locked="0"/>
    </xf>
    <xf numFmtId="0" fontId="56" fillId="8" borderId="17" xfId="0" applyFont="1" applyFill="1" applyBorder="1" applyProtection="1"/>
    <xf numFmtId="0" fontId="56" fillId="8" borderId="1" xfId="0" applyFont="1" applyFill="1" applyBorder="1" applyProtection="1"/>
    <xf numFmtId="0" fontId="56" fillId="8" borderId="18" xfId="0" applyFont="1" applyFill="1" applyBorder="1" applyProtection="1"/>
    <xf numFmtId="0" fontId="19" fillId="25" borderId="17" xfId="0" applyFont="1" applyFill="1" applyBorder="1" applyProtection="1">
      <protection locked="0"/>
    </xf>
    <xf numFmtId="0" fontId="19" fillId="25" borderId="1" xfId="0" applyFont="1" applyFill="1" applyBorder="1" applyProtection="1">
      <protection locked="0"/>
    </xf>
    <xf numFmtId="0" fontId="19" fillId="25" borderId="1" xfId="0" applyFont="1" applyFill="1" applyBorder="1" applyAlignment="1" applyProtection="1">
      <alignment horizontal="center"/>
      <protection locked="0"/>
    </xf>
    <xf numFmtId="0" fontId="56" fillId="25" borderId="18" xfId="0" applyFont="1" applyFill="1" applyBorder="1" applyAlignment="1" applyProtection="1">
      <alignment horizontal="right"/>
      <protection locked="0"/>
    </xf>
    <xf numFmtId="0" fontId="57" fillId="31" borderId="17" xfId="0" applyFont="1" applyFill="1" applyBorder="1" applyAlignment="1" applyProtection="1">
      <alignment horizontal="right" vertical="center"/>
      <protection locked="0"/>
    </xf>
    <xf numFmtId="0" fontId="57" fillId="31" borderId="1" xfId="0" applyFont="1" applyFill="1" applyBorder="1" applyProtection="1">
      <protection locked="0"/>
    </xf>
    <xf numFmtId="0" fontId="56" fillId="0" borderId="18" xfId="0" applyFont="1" applyFill="1" applyBorder="1" applyAlignment="1" applyProtection="1">
      <alignment horizontal="right"/>
      <protection locked="0"/>
    </xf>
    <xf numFmtId="0" fontId="19" fillId="25" borderId="1" xfId="0" applyFont="1" applyFill="1" applyBorder="1" applyAlignment="1" applyProtection="1">
      <alignment vertical="center"/>
      <protection locked="0"/>
    </xf>
    <xf numFmtId="0" fontId="56" fillId="25" borderId="18" xfId="0" applyFont="1" applyFill="1" applyBorder="1" applyAlignment="1" applyProtection="1">
      <alignment horizontal="right" vertical="center"/>
      <protection locked="0"/>
    </xf>
    <xf numFmtId="0" fontId="19" fillId="31" borderId="17" xfId="0" applyFont="1" applyFill="1" applyBorder="1" applyProtection="1">
      <protection locked="0"/>
    </xf>
    <xf numFmtId="0" fontId="19" fillId="31" borderId="1" xfId="0" applyFont="1" applyFill="1" applyBorder="1" applyProtection="1">
      <protection locked="0"/>
    </xf>
    <xf numFmtId="0" fontId="19" fillId="31" borderId="18" xfId="0" applyFont="1" applyFill="1" applyBorder="1" applyProtection="1">
      <protection locked="0"/>
    </xf>
    <xf numFmtId="0" fontId="57" fillId="31" borderId="18" xfId="0" applyFont="1" applyFill="1" applyBorder="1" applyProtection="1">
      <protection locked="0"/>
    </xf>
    <xf numFmtId="0" fontId="58" fillId="22" borderId="8" xfId="0" applyFont="1" applyFill="1" applyBorder="1" applyAlignment="1" applyProtection="1"/>
    <xf numFmtId="0" fontId="58" fillId="22" borderId="6" xfId="0" applyFont="1" applyFill="1" applyBorder="1" applyAlignment="1" applyProtection="1"/>
    <xf numFmtId="0" fontId="58" fillId="22" borderId="3" xfId="0" applyFont="1" applyFill="1" applyBorder="1" applyAlignment="1" applyProtection="1"/>
    <xf numFmtId="0" fontId="58" fillId="22" borderId="1" xfId="0" applyFont="1" applyFill="1" applyBorder="1" applyProtection="1"/>
    <xf numFmtId="0" fontId="58" fillId="22" borderId="1" xfId="0" applyFont="1" applyFill="1" applyBorder="1" applyAlignment="1" applyProtection="1">
      <alignment horizontal="center"/>
    </xf>
    <xf numFmtId="0" fontId="55" fillId="22" borderId="18" xfId="0" applyFont="1" applyFill="1" applyBorder="1" applyProtection="1"/>
    <xf numFmtId="0" fontId="58" fillId="22" borderId="17" xfId="0" applyFont="1" applyFill="1" applyBorder="1" applyProtection="1"/>
    <xf numFmtId="0" fontId="58" fillId="22" borderId="18" xfId="0" applyFont="1" applyFill="1" applyBorder="1" applyProtection="1"/>
    <xf numFmtId="0" fontId="58" fillId="33" borderId="18" xfId="0" applyFont="1" applyFill="1" applyBorder="1" applyProtection="1"/>
    <xf numFmtId="0" fontId="56" fillId="25" borderId="18" xfId="0" applyFont="1" applyFill="1" applyBorder="1" applyProtection="1">
      <protection locked="0"/>
    </xf>
    <xf numFmtId="0" fontId="57" fillId="31" borderId="17" xfId="0" applyFont="1" applyFill="1" applyBorder="1" applyAlignment="1" applyProtection="1">
      <alignment horizontal="right"/>
      <protection locked="0"/>
    </xf>
    <xf numFmtId="0" fontId="57" fillId="31" borderId="1" xfId="0" applyFont="1" applyFill="1" applyBorder="1" applyAlignment="1" applyProtection="1">
      <alignment horizontal="right"/>
      <protection locked="0"/>
    </xf>
    <xf numFmtId="0" fontId="57" fillId="31" borderId="18" xfId="0" applyFont="1" applyFill="1" applyBorder="1" applyAlignment="1" applyProtection="1">
      <alignment horizontal="right"/>
      <protection locked="0"/>
    </xf>
    <xf numFmtId="0" fontId="19" fillId="25" borderId="18" xfId="0" applyFont="1" applyFill="1" applyBorder="1" applyProtection="1">
      <protection locked="0"/>
    </xf>
    <xf numFmtId="0" fontId="57" fillId="25" borderId="1" xfId="0" applyFont="1" applyFill="1" applyBorder="1" applyProtection="1">
      <protection locked="0"/>
    </xf>
    <xf numFmtId="0" fontId="57" fillId="0" borderId="1" xfId="0" applyFont="1" applyFill="1" applyBorder="1" applyProtection="1">
      <protection locked="0"/>
    </xf>
    <xf numFmtId="0" fontId="57" fillId="25" borderId="1" xfId="0" applyFont="1" applyFill="1" applyBorder="1" applyAlignment="1" applyProtection="1">
      <alignment wrapText="1"/>
      <protection locked="0"/>
    </xf>
    <xf numFmtId="0" fontId="19" fillId="25" borderId="1" xfId="0" applyFont="1" applyFill="1" applyBorder="1" applyAlignment="1" applyProtection="1">
      <alignment horizontal="center" vertical="center"/>
      <protection locked="0"/>
    </xf>
    <xf numFmtId="0" fontId="19" fillId="0" borderId="1" xfId="0" applyFont="1" applyFill="1" applyBorder="1" applyAlignment="1" applyProtection="1">
      <alignment vertical="center"/>
      <protection locked="0"/>
    </xf>
    <xf numFmtId="0" fontId="56" fillId="0" borderId="18" xfId="0" applyFont="1" applyFill="1" applyBorder="1" applyAlignment="1" applyProtection="1">
      <alignment horizontal="right" vertical="center"/>
      <protection locked="0"/>
    </xf>
    <xf numFmtId="0" fontId="57" fillId="0" borderId="1" xfId="0" applyFont="1" applyFill="1" applyBorder="1" applyAlignment="1" applyProtection="1">
      <alignment horizontal="center"/>
      <protection locked="0"/>
    </xf>
    <xf numFmtId="0" fontId="57" fillId="32" borderId="17" xfId="0" applyFont="1" applyFill="1" applyBorder="1" applyProtection="1">
      <protection locked="0"/>
    </xf>
    <xf numFmtId="0" fontId="57" fillId="32" borderId="1" xfId="0" applyFont="1" applyFill="1" applyBorder="1" applyProtection="1">
      <protection locked="0"/>
    </xf>
    <xf numFmtId="0" fontId="57" fillId="23" borderId="18" xfId="0" applyFont="1" applyFill="1" applyBorder="1" applyProtection="1">
      <protection locked="0"/>
    </xf>
    <xf numFmtId="0" fontId="57" fillId="0" borderId="31" xfId="0" applyFont="1" applyFill="1" applyBorder="1" applyAlignment="1" applyProtection="1">
      <alignment horizontal="center" vertical="center"/>
      <protection locked="0"/>
    </xf>
    <xf numFmtId="0" fontId="57" fillId="0" borderId="0" xfId="0" applyFont="1" applyFill="1" applyProtection="1">
      <protection locked="0"/>
    </xf>
    <xf numFmtId="0" fontId="56" fillId="25" borderId="18" xfId="0" applyFont="1" applyFill="1" applyBorder="1" applyAlignment="1" applyProtection="1">
      <alignment vertical="center"/>
      <protection locked="0"/>
    </xf>
    <xf numFmtId="0" fontId="56" fillId="0" borderId="18" xfId="0" applyFont="1" applyFill="1" applyBorder="1" applyAlignment="1" applyProtection="1">
      <alignment vertical="center"/>
      <protection locked="0"/>
    </xf>
    <xf numFmtId="0" fontId="19" fillId="2" borderId="31" xfId="0" applyFont="1" applyFill="1" applyBorder="1" applyAlignment="1" applyProtection="1">
      <alignment horizontal="center" vertical="center"/>
      <protection locked="0"/>
    </xf>
    <xf numFmtId="0" fontId="19" fillId="2" borderId="0" xfId="0" applyFont="1" applyFill="1" applyProtection="1">
      <protection locked="0"/>
    </xf>
    <xf numFmtId="0" fontId="57" fillId="25" borderId="1" xfId="0" applyFont="1" applyFill="1" applyBorder="1" applyAlignment="1" applyProtection="1">
      <alignment vertical="center"/>
      <protection locked="0"/>
    </xf>
    <xf numFmtId="0" fontId="19" fillId="0" borderId="18" xfId="0" applyFont="1" applyFill="1" applyBorder="1" applyProtection="1">
      <protection locked="0"/>
    </xf>
    <xf numFmtId="0" fontId="57" fillId="0" borderId="1" xfId="0" applyFont="1" applyFill="1" applyBorder="1" applyAlignment="1" applyProtection="1">
      <alignment vertical="center"/>
      <protection locked="0"/>
    </xf>
    <xf numFmtId="0" fontId="58" fillId="33" borderId="18" xfId="0" applyFont="1" applyFill="1" applyBorder="1" applyProtection="1">
      <protection locked="0"/>
    </xf>
    <xf numFmtId="0" fontId="57" fillId="25" borderId="17" xfId="0" applyFont="1" applyFill="1" applyBorder="1" applyProtection="1">
      <protection locked="0"/>
    </xf>
    <xf numFmtId="0" fontId="46" fillId="31" borderId="17" xfId="0" applyFont="1" applyFill="1" applyBorder="1" applyAlignment="1" applyProtection="1">
      <alignment horizontal="right" vertical="center"/>
      <protection locked="0"/>
    </xf>
    <xf numFmtId="0" fontId="46" fillId="31" borderId="1" xfId="0" applyFont="1" applyFill="1" applyBorder="1" applyAlignment="1" applyProtection="1">
      <alignment horizontal="right" vertical="center"/>
      <protection locked="0"/>
    </xf>
    <xf numFmtId="0" fontId="46" fillId="31" borderId="18" xfId="0" applyFont="1" applyFill="1" applyBorder="1" applyAlignment="1" applyProtection="1">
      <alignment horizontal="right" vertical="center"/>
      <protection locked="0"/>
    </xf>
    <xf numFmtId="0" fontId="19" fillId="0" borderId="1" xfId="0" applyFont="1" applyFill="1" applyBorder="1" applyAlignment="1" applyProtection="1">
      <alignment horizontal="center" vertical="center"/>
      <protection locked="0"/>
    </xf>
    <xf numFmtId="0" fontId="58" fillId="22" borderId="47" xfId="0" applyFont="1" applyFill="1" applyBorder="1" applyProtection="1"/>
    <xf numFmtId="0" fontId="19" fillId="25" borderId="2" xfId="0" applyFont="1" applyFill="1" applyBorder="1" applyProtection="1">
      <protection locked="0"/>
    </xf>
    <xf numFmtId="0" fontId="19" fillId="32" borderId="3" xfId="0" applyFont="1" applyFill="1" applyBorder="1" applyProtection="1">
      <protection locked="0"/>
    </xf>
    <xf numFmtId="0" fontId="56" fillId="0" borderId="2" xfId="0" applyFont="1" applyFill="1" applyBorder="1" applyProtection="1">
      <protection locked="0"/>
    </xf>
    <xf numFmtId="0" fontId="56" fillId="0" borderId="2" xfId="0" applyFont="1" applyFill="1" applyBorder="1" applyAlignment="1" applyProtection="1">
      <alignment horizontal="right" vertical="center"/>
      <protection locked="0"/>
    </xf>
    <xf numFmtId="0" fontId="57" fillId="31" borderId="30" xfId="0" applyFont="1" applyFill="1" applyBorder="1" applyAlignment="1" applyProtection="1">
      <alignment horizontal="right" vertical="center"/>
      <protection locked="0"/>
    </xf>
    <xf numFmtId="0" fontId="57" fillId="31" borderId="19" xfId="0" applyFont="1" applyFill="1" applyBorder="1" applyAlignment="1" applyProtection="1">
      <alignment horizontal="right" vertical="center"/>
      <protection locked="0"/>
    </xf>
    <xf numFmtId="0" fontId="57" fillId="31" borderId="20" xfId="0" applyFont="1" applyFill="1" applyBorder="1" applyAlignment="1" applyProtection="1">
      <alignment horizontal="right" vertical="center"/>
      <protection locked="0"/>
    </xf>
    <xf numFmtId="0" fontId="58" fillId="22" borderId="22" xfId="0" applyFont="1" applyFill="1" applyBorder="1" applyProtection="1"/>
    <xf numFmtId="0" fontId="56" fillId="0" borderId="18" xfId="0" quotePrefix="1" applyFont="1" applyFill="1" applyBorder="1" applyAlignment="1" applyProtection="1">
      <alignment horizontal="right" vertical="center"/>
      <protection locked="0"/>
    </xf>
    <xf numFmtId="0" fontId="57" fillId="0" borderId="1" xfId="0" applyFont="1" applyFill="1" applyBorder="1" applyProtection="1"/>
    <xf numFmtId="0" fontId="57" fillId="0" borderId="1" xfId="0" applyFont="1" applyFill="1" applyBorder="1" applyAlignment="1" applyProtection="1">
      <alignment horizontal="center"/>
    </xf>
    <xf numFmtId="0" fontId="57" fillId="0" borderId="18" xfId="0" applyFont="1" applyFill="1" applyBorder="1" applyProtection="1"/>
    <xf numFmtId="0" fontId="19" fillId="0" borderId="30"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56" fillId="0" borderId="20" xfId="0" applyFont="1" applyFill="1" applyBorder="1" applyProtection="1">
      <protection locked="0"/>
    </xf>
    <xf numFmtId="0" fontId="46" fillId="34" borderId="30" xfId="0" applyFont="1" applyFill="1" applyBorder="1" applyProtection="1">
      <protection locked="0"/>
    </xf>
    <xf numFmtId="0" fontId="46" fillId="23" borderId="30" xfId="0" applyFont="1" applyFill="1" applyBorder="1" applyProtection="1">
      <protection locked="0"/>
    </xf>
    <xf numFmtId="0" fontId="19" fillId="32" borderId="20" xfId="0" applyFont="1" applyFill="1" applyBorder="1" applyProtection="1">
      <protection locked="0"/>
    </xf>
    <xf numFmtId="0" fontId="55" fillId="25" borderId="30" xfId="0" applyFont="1" applyFill="1" applyBorder="1" applyProtection="1"/>
    <xf numFmtId="0" fontId="55" fillId="25" borderId="48" xfId="0" applyFont="1" applyFill="1" applyBorder="1" applyProtection="1"/>
    <xf numFmtId="0" fontId="19" fillId="0" borderId="44" xfId="0" applyFont="1" applyFill="1" applyBorder="1" applyAlignment="1" applyProtection="1">
      <alignment horizontal="center" vertical="center"/>
      <protection locked="0"/>
    </xf>
    <xf numFmtId="0" fontId="19" fillId="0" borderId="13" xfId="0" applyFont="1" applyFill="1" applyBorder="1" applyProtection="1">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7" fillId="0" borderId="13" xfId="0" applyFont="1" applyFill="1" applyBorder="1" applyProtection="1">
      <protection locked="0"/>
    </xf>
    <xf numFmtId="0" fontId="57" fillId="0" borderId="0" xfId="0" applyFont="1" applyFill="1" applyBorder="1" applyProtection="1">
      <protection locked="0"/>
    </xf>
    <xf numFmtId="0" fontId="57" fillId="0" borderId="14" xfId="0" applyFont="1" applyFill="1" applyBorder="1" applyProtection="1">
      <protection locked="0"/>
    </xf>
    <xf numFmtId="0" fontId="19" fillId="0" borderId="22" xfId="0" applyFont="1" applyFill="1" applyBorder="1" applyProtection="1">
      <protection locked="0"/>
    </xf>
    <xf numFmtId="0" fontId="19" fillId="0" borderId="7" xfId="0" applyFont="1" applyFill="1" applyBorder="1" applyProtection="1">
      <protection locked="0"/>
    </xf>
    <xf numFmtId="0" fontId="19" fillId="0" borderId="40" xfId="0" applyFont="1" applyFill="1" applyBorder="1" applyProtection="1">
      <protection locked="0"/>
    </xf>
    <xf numFmtId="0" fontId="19" fillId="0" borderId="15" xfId="0" applyFont="1" applyFill="1" applyBorder="1" applyProtection="1">
      <protection locked="0"/>
    </xf>
    <xf numFmtId="0" fontId="19" fillId="0" borderId="49" xfId="0" applyFont="1" applyFill="1" applyBorder="1" applyProtection="1">
      <protection locked="0"/>
    </xf>
    <xf numFmtId="0" fontId="19" fillId="0" borderId="3" xfId="0" applyFont="1" applyFill="1" applyBorder="1" applyProtection="1">
      <protection locked="0"/>
    </xf>
    <xf numFmtId="0" fontId="23" fillId="7" borderId="0" xfId="6" applyFont="1" applyFill="1" applyBorder="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vertical="center"/>
    </xf>
    <xf numFmtId="165" fontId="61" fillId="0" borderId="0" xfId="0" applyNumberFormat="1" applyFont="1" applyBorder="1" applyAlignment="1">
      <alignment vertical="center"/>
    </xf>
    <xf numFmtId="3" fontId="61" fillId="0" borderId="0" xfId="0" applyNumberFormat="1" applyFont="1" applyBorder="1" applyAlignment="1">
      <alignment vertical="center"/>
    </xf>
    <xf numFmtId="0" fontId="61" fillId="0" borderId="0" xfId="0" applyNumberFormat="1" applyFont="1" applyBorder="1" applyAlignment="1">
      <alignment vertical="center"/>
    </xf>
    <xf numFmtId="9" fontId="0" fillId="0" borderId="0" xfId="0" applyNumberFormat="1"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61" fillId="4" borderId="0" xfId="0" applyFont="1" applyFill="1" applyBorder="1" applyAlignment="1">
      <alignment horizontal="center" vertical="center" wrapText="1"/>
    </xf>
    <xf numFmtId="0" fontId="61"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166" fontId="45" fillId="7" borderId="21" xfId="6" applyNumberFormat="1" applyFont="1" applyFill="1" applyBorder="1" applyAlignment="1">
      <alignment horizontal="left" vertical="center"/>
    </xf>
    <xf numFmtId="0" fontId="35" fillId="0" borderId="0" xfId="0" applyFont="1" applyBorder="1" applyAlignment="1">
      <alignment horizontal="right" vertical="center"/>
    </xf>
    <xf numFmtId="0" fontId="21" fillId="0" borderId="1" xfId="0" quotePrefix="1" applyFont="1" applyFill="1" applyBorder="1" applyAlignment="1">
      <alignment vertical="center"/>
    </xf>
    <xf numFmtId="0" fontId="21" fillId="0" borderId="1" xfId="0" quotePrefix="1" applyFont="1" applyFill="1" applyBorder="1" applyAlignment="1">
      <alignment horizontal="left" vertical="center" wrapText="1"/>
    </xf>
    <xf numFmtId="0" fontId="21" fillId="0" borderId="1" xfId="0" applyFont="1" applyFill="1" applyBorder="1" applyAlignment="1">
      <alignment horizontal="left" vertical="center"/>
    </xf>
    <xf numFmtId="0" fontId="24" fillId="24" borderId="11" xfId="6" applyFont="1" applyFill="1" applyBorder="1" applyAlignment="1">
      <alignment vertical="center"/>
    </xf>
    <xf numFmtId="0" fontId="24" fillId="24" borderId="38" xfId="6" applyFont="1" applyFill="1" applyBorder="1" applyAlignment="1">
      <alignment vertical="center"/>
    </xf>
    <xf numFmtId="0" fontId="24" fillId="24" borderId="39" xfId="6" applyFont="1" applyFill="1" applyBorder="1" applyAlignment="1">
      <alignment vertical="center"/>
    </xf>
    <xf numFmtId="0" fontId="9" fillId="24" borderId="0" xfId="0" applyFont="1" applyFill="1" applyBorder="1"/>
    <xf numFmtId="0" fontId="8" fillId="24" borderId="0" xfId="0" applyFont="1" applyFill="1" applyBorder="1"/>
    <xf numFmtId="0" fontId="37" fillId="24"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24" borderId="11" xfId="6" applyFont="1" applyFill="1" applyBorder="1" applyAlignment="1">
      <alignment vertical="center"/>
    </xf>
    <xf numFmtId="0" fontId="9" fillId="24" borderId="13" xfId="0" applyFont="1" applyFill="1" applyBorder="1"/>
    <xf numFmtId="0" fontId="9" fillId="24" borderId="14" xfId="0" applyFont="1" applyFill="1" applyBorder="1"/>
    <xf numFmtId="2" fontId="12" fillId="24" borderId="38" xfId="6" applyNumberFormat="1" applyFont="1" applyFill="1" applyBorder="1" applyAlignment="1">
      <alignment vertical="center"/>
    </xf>
    <xf numFmtId="2" fontId="12" fillId="24" borderId="38" xfId="6" applyNumberFormat="1" applyFont="1" applyFill="1" applyBorder="1" applyAlignment="1">
      <alignment horizontal="right" vertical="center"/>
    </xf>
    <xf numFmtId="0" fontId="12" fillId="24" borderId="39" xfId="6" applyFont="1" applyFill="1" applyBorder="1" applyAlignment="1">
      <alignment horizontal="left" vertical="center"/>
    </xf>
    <xf numFmtId="0" fontId="12" fillId="24" borderId="39" xfId="6" applyFont="1" applyFill="1" applyBorder="1" applyAlignment="1">
      <alignment horizontal="right" vertical="center"/>
    </xf>
    <xf numFmtId="2" fontId="12" fillId="24" borderId="39" xfId="6" applyNumberFormat="1" applyFont="1" applyFill="1" applyBorder="1" applyAlignment="1">
      <alignment vertical="center"/>
    </xf>
    <xf numFmtId="2" fontId="12" fillId="24" borderId="39" xfId="6" applyNumberFormat="1" applyFont="1" applyFill="1" applyBorder="1" applyAlignment="1">
      <alignment horizontal="right" vertical="center"/>
    </xf>
    <xf numFmtId="0" fontId="12" fillId="24" borderId="39" xfId="6" applyFont="1" applyFill="1" applyBorder="1" applyAlignment="1">
      <alignment vertical="center"/>
    </xf>
    <xf numFmtId="14" fontId="12" fillId="24" borderId="39" xfId="6" applyNumberFormat="1" applyFont="1" applyFill="1" applyBorder="1" applyAlignment="1">
      <alignment horizontal="right" vertical="center"/>
    </xf>
    <xf numFmtId="1" fontId="12" fillId="24" borderId="39" xfId="6" applyNumberFormat="1" applyFont="1" applyFill="1" applyBorder="1" applyAlignment="1">
      <alignment horizontal="right" vertical="center"/>
    </xf>
    <xf numFmtId="0" fontId="2" fillId="24" borderId="39" xfId="0" applyFont="1" applyFill="1" applyBorder="1" applyAlignment="1">
      <alignment horizontal="left" wrapText="1"/>
    </xf>
    <xf numFmtId="0" fontId="2" fillId="24" borderId="39" xfId="0" applyFont="1" applyFill="1" applyBorder="1" applyAlignment="1"/>
    <xf numFmtId="165" fontId="2" fillId="24" borderId="39" xfId="7" applyNumberFormat="1" applyFont="1" applyFill="1" applyBorder="1" applyAlignment="1"/>
    <xf numFmtId="0" fontId="2" fillId="24" borderId="15" xfId="0" applyFont="1" applyFill="1" applyBorder="1" applyAlignment="1">
      <alignment horizontal="right"/>
    </xf>
    <xf numFmtId="0" fontId="0" fillId="11" borderId="0" xfId="0" applyFill="1" applyAlignment="1">
      <alignment horizontal="right" vertical="center"/>
    </xf>
    <xf numFmtId="0" fontId="0" fillId="5" borderId="0" xfId="0" applyFill="1" applyAlignment="1">
      <alignment horizontal="right" vertical="center"/>
    </xf>
    <xf numFmtId="0" fontId="63" fillId="24" borderId="39" xfId="6" applyFont="1" applyFill="1" applyBorder="1" applyAlignment="1">
      <alignment horizontal="left" vertical="center"/>
    </xf>
    <xf numFmtId="0" fontId="9" fillId="11" borderId="0" xfId="0" applyFont="1" applyFill="1" applyBorder="1" applyAlignment="1">
      <alignment horizontal="right" vertical="center"/>
    </xf>
    <xf numFmtId="1" fontId="9" fillId="11" borderId="0" xfId="0" applyNumberFormat="1" applyFont="1" applyFill="1" applyBorder="1" applyAlignment="1">
      <alignment horizontal="right" vertical="center"/>
    </xf>
    <xf numFmtId="0" fontId="0" fillId="6" borderId="38" xfId="0" applyFill="1" applyBorder="1"/>
    <xf numFmtId="3" fontId="0" fillId="0" borderId="0" xfId="0" applyNumberFormat="1"/>
    <xf numFmtId="2" fontId="12" fillId="24" borderId="0" xfId="6" applyNumberFormat="1" applyFont="1" applyFill="1" applyBorder="1" applyAlignment="1">
      <alignment vertical="center"/>
    </xf>
    <xf numFmtId="0" fontId="45" fillId="24" borderId="16" xfId="6" applyFont="1" applyFill="1" applyBorder="1" applyAlignment="1">
      <alignment horizontal="left" vertical="center"/>
    </xf>
    <xf numFmtId="0" fontId="9" fillId="5" borderId="0" xfId="11" applyNumberFormat="1" applyFont="1" applyFill="1" applyBorder="1" applyAlignment="1">
      <alignment horizontal="right" vertical="center"/>
    </xf>
    <xf numFmtId="1" fontId="9" fillId="5" borderId="0" xfId="11" applyNumberFormat="1" applyFont="1" applyFill="1" applyBorder="1" applyAlignment="1">
      <alignment horizontal="right" vertical="center"/>
    </xf>
    <xf numFmtId="0" fontId="8" fillId="7" borderId="23" xfId="6" applyFont="1" applyFill="1" applyBorder="1" applyAlignment="1">
      <alignment vertical="center"/>
    </xf>
    <xf numFmtId="0" fontId="7" fillId="0" borderId="39" xfId="6" applyFont="1" applyFill="1" applyBorder="1" applyAlignment="1">
      <alignment horizontal="center" vertical="center"/>
    </xf>
    <xf numFmtId="0" fontId="8" fillId="7" borderId="39" xfId="6" applyFont="1" applyFill="1" applyBorder="1" applyAlignment="1">
      <alignment vertical="center"/>
    </xf>
    <xf numFmtId="0" fontId="8" fillId="7" borderId="15" xfId="6" applyFont="1" applyFill="1" applyBorder="1" applyAlignment="1">
      <alignment vertical="center"/>
    </xf>
    <xf numFmtId="0" fontId="21" fillId="0" borderId="2" xfId="0" quotePrefix="1" applyFont="1" applyFill="1" applyBorder="1" applyAlignment="1">
      <alignment horizontal="center" vertical="center" wrapText="1"/>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62" fillId="0" borderId="0" xfId="0" applyFont="1" applyBorder="1" applyAlignment="1">
      <alignment horizontal="left" vertical="center"/>
    </xf>
    <xf numFmtId="0" fontId="0" fillId="7" borderId="0" xfId="0" applyFill="1" applyBorder="1"/>
    <xf numFmtId="0" fontId="0" fillId="7" borderId="50" xfId="0" applyFill="1" applyBorder="1"/>
    <xf numFmtId="165" fontId="0" fillId="0" borderId="9" xfId="0" applyNumberFormat="1" applyFill="1" applyBorder="1"/>
    <xf numFmtId="165" fontId="0" fillId="0" borderId="7" xfId="0" applyNumberFormat="1" applyFill="1" applyBorder="1"/>
    <xf numFmtId="0" fontId="0" fillId="0" borderId="0" xfId="0" quotePrefix="1" applyFill="1" applyBorder="1"/>
    <xf numFmtId="1" fontId="0" fillId="6" borderId="0" xfId="0" applyNumberFormat="1" applyFill="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24" borderId="10" xfId="0" applyFill="1" applyBorder="1" applyAlignment="1">
      <alignment vertical="center"/>
    </xf>
    <xf numFmtId="0" fontId="0" fillId="24" borderId="11" xfId="0" applyFill="1" applyBorder="1" applyAlignment="1">
      <alignment vertical="center"/>
    </xf>
    <xf numFmtId="0" fontId="0" fillId="24" borderId="12" xfId="0" applyFill="1" applyBorder="1" applyAlignment="1">
      <alignment vertical="center"/>
    </xf>
    <xf numFmtId="0" fontId="0" fillId="24" borderId="13" xfId="0" applyFill="1" applyBorder="1" applyAlignment="1">
      <alignment vertical="center"/>
    </xf>
    <xf numFmtId="0" fontId="0" fillId="24" borderId="0" xfId="0" applyFill="1" applyBorder="1" applyAlignment="1">
      <alignment vertical="center"/>
    </xf>
    <xf numFmtId="0" fontId="0" fillId="24" borderId="14" xfId="0" applyFill="1" applyBorder="1" applyAlignment="1">
      <alignment vertical="center"/>
    </xf>
    <xf numFmtId="0" fontId="44" fillId="0" borderId="0" xfId="0" applyFont="1" applyBorder="1" applyAlignment="1">
      <alignment vertical="center"/>
    </xf>
    <xf numFmtId="0" fontId="8" fillId="24" borderId="0" xfId="6" applyFont="1" applyFill="1" applyBorder="1" applyAlignment="1">
      <alignment horizontal="left" vertical="center"/>
    </xf>
    <xf numFmtId="0" fontId="0" fillId="26" borderId="13" xfId="0" applyFill="1" applyBorder="1" applyAlignment="1">
      <alignment vertical="center"/>
    </xf>
    <xf numFmtId="0" fontId="0" fillId="26" borderId="0" xfId="0" applyFill="1" applyBorder="1" applyAlignment="1">
      <alignment vertical="center"/>
    </xf>
    <xf numFmtId="0" fontId="8" fillId="26" borderId="14" xfId="6" applyFont="1" applyFill="1" applyBorder="1" applyAlignment="1">
      <alignment vertical="center"/>
    </xf>
    <xf numFmtId="0" fontId="8" fillId="6" borderId="0" xfId="6" applyFont="1" applyFill="1" applyBorder="1" applyAlignment="1">
      <alignment vertical="center"/>
    </xf>
    <xf numFmtId="0" fontId="67" fillId="6" borderId="0" xfId="6" applyFont="1" applyFill="1" applyBorder="1" applyAlignment="1">
      <alignment vertical="center"/>
    </xf>
    <xf numFmtId="0" fontId="0" fillId="26" borderId="14" xfId="0" applyFill="1" applyBorder="1" applyAlignment="1">
      <alignment vertical="center"/>
    </xf>
    <xf numFmtId="165" fontId="44" fillId="0" borderId="0" xfId="7" quotePrefix="1" applyNumberFormat="1" applyFont="1" applyFill="1" applyBorder="1" applyAlignment="1">
      <alignment vertical="center"/>
    </xf>
    <xf numFmtId="0" fontId="0" fillId="6" borderId="0" xfId="0" applyFont="1" applyFill="1" applyBorder="1" applyAlignment="1">
      <alignment horizontal="center" vertical="center" wrapText="1"/>
    </xf>
    <xf numFmtId="0" fontId="68" fillId="0" borderId="0" xfId="0" applyFont="1" applyFill="1" applyBorder="1" applyAlignment="1">
      <alignment vertical="center"/>
    </xf>
    <xf numFmtId="165" fontId="21" fillId="0" borderId="0" xfId="7" applyNumberFormat="1" applyFont="1" applyBorder="1" applyAlignment="1">
      <alignment vertical="center"/>
    </xf>
    <xf numFmtId="0" fontId="4" fillId="6"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6" borderId="13" xfId="0" applyFont="1" applyFill="1" applyBorder="1" applyAlignment="1">
      <alignment vertical="center"/>
    </xf>
    <xf numFmtId="0" fontId="4" fillId="8"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8" borderId="0" xfId="0" applyFont="1" applyFill="1" applyBorder="1" applyAlignment="1">
      <alignment vertical="center"/>
    </xf>
    <xf numFmtId="0" fontId="0" fillId="26" borderId="41" xfId="0" applyFill="1" applyBorder="1" applyAlignment="1">
      <alignment vertical="center"/>
    </xf>
    <xf numFmtId="0" fontId="0" fillId="26" borderId="42" xfId="0" applyFill="1" applyBorder="1" applyAlignment="1">
      <alignment vertical="center"/>
    </xf>
    <xf numFmtId="0" fontId="0" fillId="6" borderId="42" xfId="0" applyFill="1" applyBorder="1" applyAlignment="1">
      <alignment vertical="center"/>
    </xf>
    <xf numFmtId="0" fontId="0" fillId="26" borderId="43"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7" borderId="0" xfId="0" applyFill="1" applyAlignment="1">
      <alignment vertical="center"/>
    </xf>
    <xf numFmtId="0" fontId="3" fillId="7" borderId="0" xfId="0" applyFont="1" applyFill="1" applyAlignment="1">
      <alignment vertical="center"/>
    </xf>
    <xf numFmtId="0" fontId="44" fillId="26"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7"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6" borderId="13" xfId="0" applyFill="1" applyBorder="1" applyAlignment="1">
      <alignment horizontal="left"/>
    </xf>
    <xf numFmtId="0" fontId="0" fillId="6" borderId="41" xfId="0" applyFill="1" applyBorder="1" applyAlignment="1">
      <alignment horizontal="left"/>
    </xf>
    <xf numFmtId="0" fontId="0" fillId="6" borderId="10" xfId="0" applyFill="1" applyBorder="1" applyAlignment="1">
      <alignment horizontal="left"/>
    </xf>
    <xf numFmtId="0" fontId="69" fillId="0" borderId="27" xfId="0" applyFont="1" applyFill="1" applyBorder="1" applyAlignment="1">
      <alignment horizontal="center" vertical="center"/>
    </xf>
    <xf numFmtId="0" fontId="0" fillId="0" borderId="28" xfId="0" applyBorder="1" applyAlignment="1">
      <alignment vertical="center"/>
    </xf>
    <xf numFmtId="0" fontId="69" fillId="0" borderId="28" xfId="0" applyFont="1" applyFill="1" applyBorder="1" applyAlignment="1">
      <alignment horizontal="center"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70" fillId="6" borderId="0" xfId="0" applyFont="1" applyFill="1" applyBorder="1"/>
    <xf numFmtId="0" fontId="0" fillId="0" borderId="1" xfId="0" applyFill="1" applyBorder="1" applyAlignment="1">
      <alignment horizontal="left"/>
    </xf>
    <xf numFmtId="0" fontId="9" fillId="6" borderId="1" xfId="0" applyNumberFormat="1" applyFont="1" applyFill="1" applyBorder="1"/>
    <xf numFmtId="165" fontId="35" fillId="18" borderId="53" xfId="7" applyNumberFormat="1" applyFont="1" applyFill="1" applyBorder="1"/>
    <xf numFmtId="165" fontId="35" fillId="19" borderId="53" xfId="7" applyNumberFormat="1" applyFont="1" applyFill="1" applyBorder="1"/>
    <xf numFmtId="0" fontId="0" fillId="0" borderId="0" xfId="0" quotePrefix="1"/>
    <xf numFmtId="175" fontId="53" fillId="0" borderId="1" xfId="0" applyNumberFormat="1" applyFont="1" applyFill="1" applyBorder="1" applyAlignment="1">
      <alignment vertical="center"/>
    </xf>
    <xf numFmtId="175" fontId="21" fillId="0" borderId="1" xfId="0" applyNumberFormat="1" applyFont="1" applyFill="1" applyBorder="1" applyAlignment="1">
      <alignment vertical="center"/>
    </xf>
    <xf numFmtId="175" fontId="21" fillId="0" borderId="1" xfId="0" quotePrefix="1" applyNumberFormat="1" applyFont="1" applyFill="1" applyBorder="1" applyAlignment="1">
      <alignment horizontal="right" vertical="center" wrapText="1"/>
    </xf>
    <xf numFmtId="175" fontId="53" fillId="0" borderId="1" xfId="0" applyNumberFormat="1" applyFont="1" applyFill="1" applyBorder="1" applyAlignment="1">
      <alignment horizontal="right" vertical="center"/>
    </xf>
    <xf numFmtId="0" fontId="71" fillId="0" borderId="0" xfId="0" applyFont="1" applyFill="1"/>
    <xf numFmtId="0" fontId="54" fillId="36"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3" xfId="0" applyNumberFormat="1" applyFont="1" applyFill="1" applyBorder="1"/>
    <xf numFmtId="1" fontId="34" fillId="0" borderId="16" xfId="0" applyNumberFormat="1" applyFont="1" applyFill="1" applyBorder="1"/>
    <xf numFmtId="165" fontId="35" fillId="0" borderId="26" xfId="0" applyNumberFormat="1" applyFont="1" applyFill="1" applyBorder="1"/>
    <xf numFmtId="0" fontId="0" fillId="0" borderId="13" xfId="0" applyBorder="1" applyAlignment="1">
      <alignment vertical="top"/>
    </xf>
    <xf numFmtId="0" fontId="0" fillId="0" borderId="27" xfId="0" applyBorder="1" applyAlignment="1">
      <alignment vertical="center"/>
    </xf>
    <xf numFmtId="0" fontId="0" fillId="0" borderId="29" xfId="0" applyBorder="1" applyAlignment="1">
      <alignment vertical="center"/>
    </xf>
    <xf numFmtId="0" fontId="0" fillId="0" borderId="12" xfId="0" applyBorder="1"/>
    <xf numFmtId="3" fontId="0" fillId="0" borderId="0" xfId="0" applyNumberFormat="1" applyFont="1" applyBorder="1" applyAlignment="1">
      <alignment vertical="center"/>
    </xf>
    <xf numFmtId="0" fontId="0" fillId="0" borderId="0" xfId="0" applyNumberFormat="1" applyFont="1" applyBorder="1" applyAlignment="1">
      <alignment vertical="center"/>
    </xf>
    <xf numFmtId="0" fontId="0" fillId="6" borderId="45" xfId="0" applyNumberFormat="1" applyFill="1" applyBorder="1"/>
    <xf numFmtId="0" fontId="0" fillId="6" borderId="31" xfId="0" applyNumberFormat="1" applyFill="1" applyBorder="1"/>
    <xf numFmtId="0" fontId="0" fillId="0" borderId="12" xfId="0"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24" borderId="23" xfId="0" applyFill="1" applyBorder="1" applyAlignment="1">
      <alignment horizontal="center"/>
    </xf>
    <xf numFmtId="0" fontId="0" fillId="24" borderId="38" xfId="0" applyFill="1" applyBorder="1" applyAlignment="1">
      <alignment horizontal="left"/>
    </xf>
    <xf numFmtId="9" fontId="0" fillId="24" borderId="35" xfId="0" applyNumberFormat="1" applyFill="1" applyBorder="1"/>
    <xf numFmtId="0" fontId="66" fillId="6" borderId="38" xfId="6" applyFont="1" applyFill="1" applyBorder="1" applyAlignment="1"/>
    <xf numFmtId="165" fontId="3" fillId="0" borderId="23" xfId="0" applyNumberFormat="1" applyFont="1" applyBorder="1" applyAlignment="1">
      <alignment horizontal="center" vertical="center" wrapText="1"/>
    </xf>
    <xf numFmtId="0" fontId="44" fillId="22" borderId="0" xfId="0" applyFont="1" applyFill="1"/>
    <xf numFmtId="15" fontId="0" fillId="0" borderId="1" xfId="0" applyNumberFormat="1" applyFill="1" applyBorder="1" applyAlignment="1">
      <alignment horizontal="left" vertical="center"/>
    </xf>
    <xf numFmtId="0" fontId="0" fillId="0" borderId="1" xfId="0" applyFill="1" applyBorder="1"/>
    <xf numFmtId="0" fontId="0" fillId="0" borderId="1" xfId="0" applyFont="1" applyFill="1" applyBorder="1"/>
    <xf numFmtId="0" fontId="0" fillId="0" borderId="0" xfId="0" applyBorder="1" applyAlignment="1">
      <alignment textRotation="90"/>
    </xf>
    <xf numFmtId="0" fontId="57" fillId="0" borderId="63" xfId="0" applyFont="1" applyBorder="1" applyAlignment="1">
      <alignment horizontal="center" vertical="center" textRotation="90"/>
    </xf>
    <xf numFmtId="0" fontId="57" fillId="0" borderId="64" xfId="0" applyFont="1" applyBorder="1" applyAlignment="1">
      <alignment horizontal="center" vertical="center" textRotation="90"/>
    </xf>
    <xf numFmtId="0" fontId="57" fillId="0" borderId="65" xfId="0" applyFont="1" applyBorder="1" applyAlignment="1">
      <alignment horizontal="center" vertical="center" textRotation="90"/>
    </xf>
    <xf numFmtId="0" fontId="57" fillId="0" borderId="63" xfId="0" applyFont="1" applyBorder="1" applyAlignment="1">
      <alignment horizontal="center" vertical="center" textRotation="90" wrapText="1"/>
    </xf>
    <xf numFmtId="0" fontId="57" fillId="0" borderId="64" xfId="0" applyFont="1" applyBorder="1" applyAlignment="1">
      <alignment horizontal="center" vertical="center" textRotation="90" wrapText="1"/>
    </xf>
    <xf numFmtId="0" fontId="57" fillId="0" borderId="65" xfId="0" applyFont="1" applyBorder="1" applyAlignment="1">
      <alignment horizontal="center" vertical="center" textRotation="90" wrapText="1"/>
    </xf>
    <xf numFmtId="15" fontId="0" fillId="0" borderId="66" xfId="0" applyNumberFormat="1" applyFill="1" applyBorder="1" applyAlignment="1">
      <alignment horizontal="left" vertical="center"/>
    </xf>
    <xf numFmtId="0" fontId="0" fillId="0" borderId="33" xfId="0" applyFill="1" applyBorder="1"/>
    <xf numFmtId="0" fontId="0" fillId="0" borderId="67" xfId="0" applyFill="1" applyBorder="1"/>
    <xf numFmtId="15" fontId="0" fillId="0" borderId="3" xfId="0" applyNumberFormat="1" applyFill="1" applyBorder="1" applyAlignment="1">
      <alignment horizontal="left" vertical="center"/>
    </xf>
    <xf numFmtId="0" fontId="0" fillId="0" borderId="2" xfId="0" applyBorder="1"/>
    <xf numFmtId="0" fontId="19" fillId="0" borderId="8" xfId="0" applyFont="1" applyFill="1" applyBorder="1" applyProtection="1">
      <protection locked="0"/>
    </xf>
    <xf numFmtId="0" fontId="19" fillId="0" borderId="6" xfId="0" applyFont="1" applyFill="1" applyBorder="1" applyProtection="1">
      <protection locked="0"/>
    </xf>
    <xf numFmtId="0" fontId="57" fillId="31" borderId="3" xfId="0" applyFont="1" applyFill="1" applyBorder="1" applyAlignment="1" applyProtection="1">
      <alignment horizontal="right" vertical="center"/>
      <protection locked="0"/>
    </xf>
    <xf numFmtId="0" fontId="57" fillId="31" borderId="6" xfId="0" applyFont="1" applyFill="1" applyBorder="1" applyAlignment="1" applyProtection="1">
      <alignment horizontal="right" vertical="center"/>
      <protection locked="0"/>
    </xf>
    <xf numFmtId="0" fontId="4" fillId="25" borderId="1" xfId="0" applyFont="1" applyFill="1" applyBorder="1" applyProtection="1">
      <protection locked="0"/>
    </xf>
    <xf numFmtId="0" fontId="57" fillId="31" borderId="47" xfId="0" applyFont="1" applyFill="1" applyBorder="1" applyAlignment="1" applyProtection="1">
      <alignment horizontal="right" vertical="center"/>
      <protection locked="0"/>
    </xf>
    <xf numFmtId="0" fontId="57" fillId="31" borderId="23" xfId="0" applyFont="1" applyFill="1" applyBorder="1" applyAlignment="1" applyProtection="1">
      <alignment horizontal="right" vertical="center"/>
      <protection locked="0"/>
    </xf>
    <xf numFmtId="0" fontId="57" fillId="31" borderId="38" xfId="0" applyFont="1" applyFill="1" applyBorder="1" applyAlignment="1" applyProtection="1">
      <alignment horizontal="right" vertical="center"/>
      <protection locked="0"/>
    </xf>
    <xf numFmtId="0" fontId="0" fillId="7" borderId="1" xfId="0" applyNumberFormat="1" applyFont="1" applyFill="1" applyBorder="1"/>
    <xf numFmtId="0" fontId="21" fillId="0" borderId="1" xfId="0" quotePrefix="1" applyFont="1" applyFill="1" applyBorder="1" applyAlignment="1">
      <alignment horizontal="center" vertical="center" wrapText="1"/>
    </xf>
    <xf numFmtId="169" fontId="21" fillId="37" borderId="1" xfId="0" applyNumberFormat="1" applyFont="1" applyFill="1" applyBorder="1" applyAlignment="1">
      <alignment horizontal="right" vertical="center" wrapText="1"/>
    </xf>
    <xf numFmtId="0" fontId="0" fillId="0" borderId="13" xfId="0" applyBorder="1" applyAlignment="1">
      <alignment horizontal="left"/>
    </xf>
    <xf numFmtId="0" fontId="0" fillId="6" borderId="27" xfId="0" applyFill="1" applyBorder="1" applyAlignment="1">
      <alignment horizontal="left"/>
    </xf>
    <xf numFmtId="0" fontId="11" fillId="38" borderId="3" xfId="0" applyFont="1" applyFill="1" applyBorder="1"/>
    <xf numFmtId="0" fontId="11" fillId="38" borderId="1" xfId="0" applyFont="1" applyFill="1" applyBorder="1"/>
    <xf numFmtId="0" fontId="21" fillId="0" borderId="1" xfId="0" applyFont="1" applyBorder="1" applyAlignment="1">
      <alignment horizontal="left" vertical="center" wrapText="1"/>
    </xf>
    <xf numFmtId="0" fontId="21" fillId="0" borderId="1" xfId="0" applyFont="1" applyBorder="1" applyAlignment="1">
      <alignment vertical="center"/>
    </xf>
    <xf numFmtId="1" fontId="21" fillId="0" borderId="1" xfId="0" applyNumberFormat="1" applyFont="1" applyBorder="1" applyAlignment="1">
      <alignment horizontal="center" vertical="center"/>
    </xf>
    <xf numFmtId="15" fontId="0" fillId="0" borderId="5" xfId="0" applyNumberFormat="1" applyFill="1" applyBorder="1" applyAlignment="1">
      <alignment horizontal="left" vertical="center"/>
    </xf>
    <xf numFmtId="0" fontId="0" fillId="0" borderId="5" xfId="0" applyFill="1" applyBorder="1"/>
    <xf numFmtId="0" fontId="0" fillId="0" borderId="5" xfId="0" applyFont="1" applyFill="1" applyBorder="1"/>
    <xf numFmtId="169" fontId="21" fillId="0" borderId="1" xfId="0" applyNumberFormat="1" applyFont="1" applyBorder="1" applyAlignment="1">
      <alignment horizontal="right" vertical="center" wrapText="1"/>
    </xf>
    <xf numFmtId="169" fontId="21"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wrapText="1"/>
    </xf>
    <xf numFmtId="0" fontId="2" fillId="5" borderId="0" xfId="0" applyFont="1" applyFill="1" applyBorder="1" applyAlignment="1">
      <alignment horizontal="right" vertical="center"/>
    </xf>
    <xf numFmtId="0" fontId="9" fillId="12" borderId="0" xfId="11" applyFont="1" applyFill="1" applyAlignment="1">
      <alignment horizontal="left" vertical="center" wrapText="1"/>
    </xf>
    <xf numFmtId="0" fontId="0" fillId="0" borderId="16" xfId="0" applyBorder="1"/>
    <xf numFmtId="0" fontId="0" fillId="0" borderId="4" xfId="0" applyBorder="1"/>
    <xf numFmtId="0" fontId="0" fillId="0" borderId="38" xfId="0" pivotButton="1" applyBorder="1" applyAlignment="1">
      <alignment vertical="center"/>
    </xf>
    <xf numFmtId="0" fontId="0" fillId="0" borderId="21" xfId="0" applyBorder="1"/>
    <xf numFmtId="1" fontId="9" fillId="5" borderId="0" xfId="0" applyNumberFormat="1" applyFont="1" applyFill="1" applyBorder="1" applyAlignment="1">
      <alignment horizontal="right" vertical="center"/>
    </xf>
    <xf numFmtId="0" fontId="9" fillId="11" borderId="0" xfId="0" applyFont="1" applyFill="1" applyAlignment="1">
      <alignment horizontal="right" vertical="center"/>
    </xf>
    <xf numFmtId="1" fontId="9" fillId="11" borderId="0" xfId="0" applyNumberFormat="1" applyFont="1" applyFill="1" applyAlignment="1">
      <alignment horizontal="right" vertical="center"/>
    </xf>
    <xf numFmtId="0" fontId="9" fillId="5" borderId="0" xfId="0" applyFont="1" applyFill="1" applyBorder="1" applyAlignment="1">
      <alignment horizontal="right" vertical="center"/>
    </xf>
    <xf numFmtId="0" fontId="0" fillId="5" borderId="0" xfId="0" applyFill="1" applyBorder="1" applyAlignment="1"/>
    <xf numFmtId="0" fontId="0" fillId="11" borderId="0" xfId="0" applyFill="1" applyBorder="1" applyAlignment="1">
      <alignment horizontal="right"/>
    </xf>
    <xf numFmtId="0" fontId="0" fillId="24" borderId="21" xfId="0" applyFill="1" applyBorder="1"/>
    <xf numFmtId="166" fontId="12" fillId="24" borderId="21" xfId="6" applyNumberFormat="1" applyFont="1" applyFill="1" applyBorder="1" applyAlignment="1">
      <alignment horizontal="left" vertical="center"/>
    </xf>
    <xf numFmtId="166" fontId="12" fillId="24" borderId="39" xfId="6" applyNumberFormat="1" applyFont="1" applyFill="1" applyBorder="1" applyAlignment="1">
      <alignment horizontal="left" vertical="center"/>
    </xf>
    <xf numFmtId="0" fontId="12" fillId="24" borderId="38" xfId="6" applyFont="1" applyFill="1" applyBorder="1" applyAlignment="1">
      <alignment horizontal="center" vertical="center"/>
    </xf>
    <xf numFmtId="0" fontId="12" fillId="24" borderId="39" xfId="6" applyFont="1" applyFill="1" applyBorder="1" applyAlignment="1">
      <alignment horizontal="center" vertical="center"/>
    </xf>
    <xf numFmtId="0" fontId="7" fillId="7" borderId="0" xfId="0" applyFont="1" applyFill="1" applyBorder="1" applyAlignment="1">
      <alignment horizontal="right"/>
    </xf>
    <xf numFmtId="3" fontId="7" fillId="7" borderId="0" xfId="0" applyNumberFormat="1" applyFont="1" applyFill="1" applyBorder="1" applyAlignment="1">
      <alignment horizontal="right"/>
    </xf>
    <xf numFmtId="3" fontId="7" fillId="7" borderId="50" xfId="0" applyNumberFormat="1" applyFont="1" applyFill="1" applyBorder="1" applyAlignment="1">
      <alignment horizontal="right"/>
    </xf>
    <xf numFmtId="0" fontId="64" fillId="7" borderId="0" xfId="6" applyFont="1" applyFill="1" applyBorder="1" applyAlignment="1">
      <alignment horizontal="left" vertical="center"/>
    </xf>
    <xf numFmtId="0" fontId="64" fillId="7" borderId="50" xfId="6" applyFont="1" applyFill="1" applyBorder="1" applyAlignment="1">
      <alignment horizontal="left" vertical="center"/>
    </xf>
    <xf numFmtId="0" fontId="34" fillId="0" borderId="38" xfId="0" applyFont="1" applyFill="1" applyBorder="1" applyAlignment="1">
      <alignment horizontal="right" vertical="center"/>
    </xf>
    <xf numFmtId="0" fontId="34" fillId="0" borderId="0" xfId="0" applyFont="1" applyAlignment="1">
      <alignment horizontal="left" wrapText="1"/>
    </xf>
    <xf numFmtId="0" fontId="38" fillId="6" borderId="38" xfId="6" applyFont="1" applyFill="1" applyBorder="1" applyAlignment="1">
      <alignment horizontal="left"/>
    </xf>
    <xf numFmtId="0" fontId="45" fillId="0" borderId="38" xfId="6" applyFont="1" applyFill="1" applyBorder="1" applyAlignment="1">
      <alignment horizontal="center"/>
    </xf>
    <xf numFmtId="0" fontId="64" fillId="6" borderId="0" xfId="6" applyFont="1" applyFill="1" applyBorder="1" applyAlignment="1">
      <alignment horizontal="left" vertical="center"/>
    </xf>
    <xf numFmtId="0" fontId="23" fillId="24" borderId="0" xfId="6" applyFont="1" applyFill="1" applyBorder="1" applyAlignment="1">
      <alignment horizontal="left" vertical="center"/>
    </xf>
    <xf numFmtId="166" fontId="26" fillId="24" borderId="0" xfId="6" applyNumberFormat="1" applyFont="1" applyFill="1" applyBorder="1" applyAlignment="1">
      <alignment horizontal="left" vertical="center"/>
    </xf>
    <xf numFmtId="0" fontId="10" fillId="27" borderId="55" xfId="0" applyFont="1" applyFill="1" applyBorder="1" applyAlignment="1">
      <alignment horizontal="center" vertical="center" wrapText="1"/>
    </xf>
    <xf numFmtId="0" fontId="10" fillId="27" borderId="0" xfId="0" applyFont="1" applyFill="1" applyBorder="1" applyAlignment="1">
      <alignment horizontal="center" vertical="center"/>
    </xf>
    <xf numFmtId="0" fontId="10" fillId="27" borderId="55" xfId="0" applyFont="1" applyFill="1" applyBorder="1" applyAlignment="1">
      <alignment horizontal="center" vertical="center"/>
    </xf>
    <xf numFmtId="0" fontId="10" fillId="27" borderId="54" xfId="0" applyFont="1" applyFill="1" applyBorder="1" applyAlignment="1">
      <alignment horizontal="center" vertical="center"/>
    </xf>
    <xf numFmtId="166" fontId="45" fillId="7" borderId="21" xfId="6" applyNumberFormat="1" applyFont="1" applyFill="1" applyBorder="1" applyAlignment="1">
      <alignment horizontal="left" vertical="center"/>
    </xf>
    <xf numFmtId="166" fontId="45" fillId="7" borderId="39" xfId="6" applyNumberFormat="1" applyFont="1" applyFill="1" applyBorder="1" applyAlignment="1">
      <alignment horizontal="left" vertical="center"/>
    </xf>
    <xf numFmtId="0" fontId="55" fillId="9" borderId="32" xfId="0" applyFont="1" applyFill="1" applyBorder="1" applyAlignment="1" applyProtection="1">
      <alignment horizontal="center" vertical="center"/>
    </xf>
    <xf numFmtId="0" fontId="55" fillId="9" borderId="33" xfId="0" applyFont="1" applyFill="1" applyBorder="1" applyAlignment="1" applyProtection="1">
      <alignment horizontal="center" vertical="center"/>
    </xf>
    <xf numFmtId="0" fontId="55" fillId="9" borderId="34" xfId="0" applyFont="1" applyFill="1" applyBorder="1" applyAlignment="1" applyProtection="1">
      <alignment horizontal="center" vertical="center"/>
    </xf>
    <xf numFmtId="0" fontId="54" fillId="0" borderId="0" xfId="0" applyFont="1" applyFill="1" applyBorder="1" applyAlignment="1" applyProtection="1">
      <alignment horizontal="left" vertical="center"/>
      <protection locked="0"/>
    </xf>
    <xf numFmtId="0" fontId="54" fillId="0" borderId="35" xfId="0" applyFont="1" applyFill="1" applyBorder="1" applyAlignment="1" applyProtection="1">
      <alignment horizontal="left" vertical="center"/>
      <protection locked="0"/>
    </xf>
    <xf numFmtId="0" fontId="22" fillId="8" borderId="32" xfId="0" applyNumberFormat="1" applyFont="1" applyFill="1" applyBorder="1" applyAlignment="1" applyProtection="1">
      <alignment horizontal="center" vertical="center"/>
      <protection locked="0"/>
    </xf>
    <xf numFmtId="0" fontId="22" fillId="8" borderId="17" xfId="0" applyNumberFormat="1" applyFont="1" applyFill="1" applyBorder="1" applyAlignment="1" applyProtection="1">
      <alignment horizontal="center" vertical="center"/>
      <protection locked="0"/>
    </xf>
    <xf numFmtId="0" fontId="22" fillId="8" borderId="33" xfId="0" applyNumberFormat="1" applyFont="1" applyFill="1" applyBorder="1" applyAlignment="1" applyProtection="1">
      <alignment horizontal="center" vertical="center"/>
      <protection locked="0"/>
    </xf>
    <xf numFmtId="0" fontId="22" fillId="8" borderId="1" xfId="0" applyNumberFormat="1" applyFont="1" applyFill="1" applyBorder="1" applyAlignment="1" applyProtection="1">
      <alignment horizontal="center" vertical="center"/>
      <protection locked="0"/>
    </xf>
    <xf numFmtId="0" fontId="19" fillId="8" borderId="34" xfId="0" applyNumberFormat="1" applyFont="1" applyFill="1" applyBorder="1" applyAlignment="1" applyProtection="1">
      <alignment horizontal="center" vertical="center" wrapText="1"/>
      <protection locked="0"/>
    </xf>
    <xf numFmtId="0" fontId="19" fillId="8" borderId="18" xfId="0" applyNumberFormat="1" applyFont="1" applyFill="1" applyBorder="1" applyAlignment="1" applyProtection="1">
      <alignment horizontal="center" vertical="center" wrapText="1"/>
      <protection locked="0"/>
    </xf>
    <xf numFmtId="0" fontId="46" fillId="31" borderId="32" xfId="0" applyFont="1" applyFill="1" applyBorder="1" applyAlignment="1" applyProtection="1">
      <alignment horizontal="center" vertical="center"/>
      <protection locked="0"/>
    </xf>
    <xf numFmtId="0" fontId="46" fillId="31" borderId="33" xfId="0" applyFont="1" applyFill="1" applyBorder="1" applyAlignment="1" applyProtection="1">
      <alignment horizontal="center" vertical="center"/>
      <protection locked="0"/>
    </xf>
    <xf numFmtId="0" fontId="46" fillId="31" borderId="34" xfId="0" applyFont="1" applyFill="1" applyBorder="1" applyAlignment="1" applyProtection="1">
      <alignment horizontal="center" vertical="center"/>
      <protection locked="0"/>
    </xf>
    <xf numFmtId="0" fontId="22" fillId="32" borderId="32" xfId="0" applyFont="1" applyFill="1" applyBorder="1" applyAlignment="1" applyProtection="1">
      <alignment horizontal="center" vertical="center"/>
      <protection locked="0"/>
    </xf>
    <xf numFmtId="0" fontId="22" fillId="32" borderId="33" xfId="0" applyFont="1" applyFill="1" applyBorder="1" applyAlignment="1" applyProtection="1">
      <alignment horizontal="center" vertical="center"/>
      <protection locked="0"/>
    </xf>
    <xf numFmtId="0" fontId="22" fillId="32" borderId="34" xfId="0" applyFont="1" applyFill="1" applyBorder="1" applyAlignment="1" applyProtection="1">
      <alignment horizontal="center" vertical="center"/>
      <protection locked="0"/>
    </xf>
    <xf numFmtId="166" fontId="26" fillId="24" borderId="21" xfId="6" applyNumberFormat="1" applyFont="1" applyFill="1" applyBorder="1" applyAlignment="1">
      <alignment horizontal="left" vertical="center"/>
    </xf>
    <xf numFmtId="166" fontId="26" fillId="24" borderId="39" xfId="6" applyNumberFormat="1" applyFont="1" applyFill="1" applyBorder="1" applyAlignment="1">
      <alignment horizontal="left" vertical="center"/>
    </xf>
    <xf numFmtId="0" fontId="13" fillId="0" borderId="32"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69" fillId="0" borderId="28" xfId="0" applyFont="1" applyFill="1" applyBorder="1" applyAlignment="1">
      <alignment horizontal="right" vertical="center"/>
    </xf>
    <xf numFmtId="0" fontId="69" fillId="0" borderId="29" xfId="0" applyFont="1" applyFill="1" applyBorder="1" applyAlignment="1">
      <alignment horizontal="right" vertical="center"/>
    </xf>
    <xf numFmtId="0" fontId="38" fillId="24" borderId="16" xfId="6" applyFont="1" applyFill="1" applyBorder="1" applyAlignment="1">
      <alignment horizontal="left" vertical="center"/>
    </xf>
    <xf numFmtId="0" fontId="38" fillId="24" borderId="38" xfId="6" applyFont="1" applyFill="1" applyBorder="1" applyAlignment="1">
      <alignment horizontal="left" vertical="center"/>
    </xf>
    <xf numFmtId="0" fontId="12" fillId="4" borderId="57"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56" xfId="0" applyFont="1" applyFill="1" applyBorder="1" applyAlignment="1">
      <alignment horizontal="center" vertical="center" textRotation="90"/>
    </xf>
    <xf numFmtId="0" fontId="12" fillId="4" borderId="60" xfId="0" applyFont="1" applyFill="1" applyBorder="1" applyAlignment="1">
      <alignment horizontal="center" vertical="center" textRotation="90"/>
    </xf>
    <xf numFmtId="0" fontId="12" fillId="4" borderId="11"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7" xfId="0" applyFont="1" applyFill="1" applyBorder="1" applyAlignment="1">
      <alignment horizontal="center" vertical="center" textRotation="90" wrapText="1"/>
    </xf>
    <xf numFmtId="0" fontId="12" fillId="4" borderId="61" xfId="0" applyFont="1" applyFill="1" applyBorder="1" applyAlignment="1">
      <alignment horizontal="center" vertical="center" textRotation="90" wrapText="1"/>
    </xf>
    <xf numFmtId="0" fontId="12" fillId="4" borderId="58" xfId="0" applyFont="1" applyFill="1" applyBorder="1" applyAlignment="1">
      <alignment horizontal="center" vertical="center" textRotation="90"/>
    </xf>
    <xf numFmtId="0" fontId="12" fillId="4" borderId="62" xfId="0" applyFont="1" applyFill="1" applyBorder="1" applyAlignment="1">
      <alignment horizontal="center" vertical="center" textRotation="90"/>
    </xf>
    <xf numFmtId="0" fontId="12" fillId="4" borderId="59" xfId="0" applyFont="1" applyFill="1" applyBorder="1" applyAlignment="1">
      <alignment horizontal="center" vertical="center" textRotation="90"/>
    </xf>
    <xf numFmtId="0" fontId="12" fillId="4" borderId="57"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9" xfId="0" applyFont="1" applyFill="1" applyBorder="1" applyAlignment="1">
      <alignment horizontal="center" vertical="center"/>
    </xf>
    <xf numFmtId="0" fontId="12" fillId="4" borderId="12" xfId="0" applyFont="1" applyFill="1" applyBorder="1" applyAlignment="1">
      <alignment horizontal="center" vertical="center" wrapText="1"/>
    </xf>
    <xf numFmtId="0" fontId="18" fillId="0" borderId="4" xfId="6" applyFont="1" applyFill="1" applyBorder="1" applyAlignment="1">
      <alignment horizontal="left" vertical="center"/>
    </xf>
    <xf numFmtId="0" fontId="18" fillId="0" borderId="0" xfId="6" applyFont="1" applyFill="1" applyBorder="1" applyAlignment="1">
      <alignment horizontal="left" vertical="center"/>
    </xf>
    <xf numFmtId="0" fontId="23" fillId="7" borderId="4" xfId="6" applyFont="1" applyFill="1" applyBorder="1" applyAlignment="1">
      <alignment horizontal="left" vertical="center"/>
    </xf>
    <xf numFmtId="0" fontId="23" fillId="7" borderId="0" xfId="6" applyFont="1" applyFill="1" applyBorder="1" applyAlignment="1">
      <alignment horizontal="left" vertical="center"/>
    </xf>
    <xf numFmtId="166" fontId="26" fillId="7" borderId="21" xfId="6" applyNumberFormat="1" applyFont="1" applyFill="1" applyBorder="1" applyAlignment="1">
      <alignment horizontal="left" vertical="center"/>
    </xf>
    <xf numFmtId="166" fontId="26" fillId="7" borderId="39" xfId="6" applyNumberFormat="1" applyFont="1" applyFill="1" applyBorder="1" applyAlignment="1">
      <alignment horizontal="left" vertical="center"/>
    </xf>
    <xf numFmtId="166" fontId="18" fillId="24"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19">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Percent" xfId="8" builtinId="5"/>
  </cellStyles>
  <dxfs count="125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horizont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75" formatCode="[$-409]d\-mmm\-yyyy;@"/>
      <fill>
        <patternFill patternType="none">
          <fgColor indexed="64"/>
          <bgColor indexed="65"/>
        </patternFill>
      </fill>
      <alignment vertical="center"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right style="thin">
          <color indexed="64"/>
        </right>
        <top style="thin">
          <color indexed="64"/>
        </top>
        <bottom style="thin">
          <color indexed="64"/>
        </bottom>
        <vertical/>
        <horizontal/>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thin">
          <color indexed="64"/>
        </bottom>
      </border>
    </dxf>
    <dxf>
      <fill>
        <patternFill patternType="none">
          <fgColor indexed="64"/>
          <bgColor indexed="65"/>
        </patternFill>
      </fill>
      <border diagonalUp="0" diagonalDown="0" outline="0">
        <left style="thin">
          <color indexed="64"/>
        </left>
        <right style="thin">
          <color indexed="64"/>
        </right>
        <top/>
        <bottom/>
      </border>
    </dxf>
    <dxf>
      <numFmt numFmtId="13" formatCode="0%"/>
    </dxf>
    <dxf>
      <font>
        <b val="0"/>
        <i val="0"/>
        <strike val="0"/>
        <condense val="0"/>
        <extend val="0"/>
        <outline val="0"/>
        <shadow val="0"/>
        <u val="none"/>
        <vertAlign val="baseline"/>
        <sz val="8"/>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8"/>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ont>
        <color rgb="FF9C0006"/>
      </font>
      <fill>
        <patternFill>
          <bgColor rgb="FFFFC7CE"/>
        </patternFill>
      </fill>
    </dxf>
    <dxf>
      <font>
        <color rgb="FF9C0006"/>
      </font>
      <fill>
        <patternFill>
          <bgColor rgb="FFFFC7CE"/>
        </patternFill>
      </fill>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alignment horizontal="center" readingOrder="0"/>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20" formatCode="d\-mmm\-yy"/>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0000"/>
      <color rgb="FF8B8B8B"/>
      <color rgb="FF6CA62C"/>
      <color rgb="FFDCE6F1"/>
      <color rgb="FFFD2361"/>
      <color rgb="FFFFFF00"/>
      <color rgb="FFFFC800"/>
      <color rgb="FF588824"/>
      <color rgb="FFFFFFFF"/>
      <color rgb="FFFF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9"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3.xml"/><Relationship Id="rId42" Type="http://schemas.openxmlformats.org/officeDocument/2006/relationships/customXml" Target="../customXml/item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38"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41"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 Id="rId35" Type="http://schemas.openxmlformats.org/officeDocument/2006/relationships/customXml" Target="../customXml/item4.xml"/><Relationship Id="rId43"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sep2017.xlsx]IDP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8306</c:v>
                </c:pt>
                <c:pt idx="1">
                  <c:v>2569</c:v>
                </c:pt>
                <c:pt idx="2">
                  <c:v>3590</c:v>
                </c:pt>
                <c:pt idx="3">
                  <c:v>566</c:v>
                </c:pt>
                <c:pt idx="4">
                  <c:v>120</c:v>
                </c:pt>
                <c:pt idx="5">
                  <c:v>4317</c:v>
                </c:pt>
                <c:pt idx="6">
                  <c:v>12961</c:v>
                </c:pt>
                <c:pt idx="7">
                  <c:v>534</c:v>
                </c:pt>
                <c:pt idx="8">
                  <c:v>349</c:v>
                </c:pt>
                <c:pt idx="9">
                  <c:v>350</c:v>
                </c:pt>
                <c:pt idx="10">
                  <c:v>24769</c:v>
                </c:pt>
                <c:pt idx="11">
                  <c:v>1261</c:v>
                </c:pt>
                <c:pt idx="12">
                  <c:v>7536</c:v>
                </c:pt>
                <c:pt idx="13">
                  <c:v>1960</c:v>
                </c:pt>
                <c:pt idx="14">
                  <c:v>650</c:v>
                </c:pt>
                <c:pt idx="15">
                  <c:v>412</c:v>
                </c:pt>
                <c:pt idx="16">
                  <c:v>2177</c:v>
                </c:pt>
                <c:pt idx="17">
                  <c:v>764</c:v>
                </c:pt>
                <c:pt idx="18">
                  <c:v>992</c:v>
                </c:pt>
                <c:pt idx="19">
                  <c:v>24492</c:v>
                </c:pt>
              </c:numCache>
            </c:numRef>
          </c:val>
        </c:ser>
        <c:dLbls>
          <c:showLegendKey val="0"/>
          <c:showVal val="0"/>
          <c:showCatName val="0"/>
          <c:showSerName val="0"/>
          <c:showPercent val="0"/>
          <c:showBubbleSize val="0"/>
        </c:dLbls>
        <c:gapWidth val="150"/>
        <c:axId val="207803104"/>
        <c:axId val="207803496"/>
      </c:barChart>
      <c:catAx>
        <c:axId val="207803104"/>
        <c:scaling>
          <c:orientation val="minMax"/>
        </c:scaling>
        <c:delete val="0"/>
        <c:axPos val="l"/>
        <c:numFmt formatCode="General" sourceLinked="0"/>
        <c:majorTickMark val="out"/>
        <c:minorTickMark val="none"/>
        <c:tickLblPos val="nextTo"/>
        <c:crossAx val="207803496"/>
        <c:crosses val="autoZero"/>
        <c:auto val="1"/>
        <c:lblAlgn val="ctr"/>
        <c:lblOffset val="100"/>
        <c:noMultiLvlLbl val="1"/>
      </c:catAx>
      <c:valAx>
        <c:axId val="207803496"/>
        <c:scaling>
          <c:orientation val="minMax"/>
        </c:scaling>
        <c:delete val="0"/>
        <c:axPos val="b"/>
        <c:majorGridlines/>
        <c:numFmt formatCode="General" sourceLinked="1"/>
        <c:majorTickMark val="out"/>
        <c:minorTickMark val="none"/>
        <c:tickLblPos val="nextTo"/>
        <c:crossAx val="207803104"/>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overview'!$G$11</c:f>
              <c:numCache>
                <c:formatCode>_-* #,##0_-;\-* #,##0_-;_-* "-"??_-;_-@_-</c:formatCode>
                <c:ptCount val="1"/>
                <c:pt idx="0">
                  <c:v>420</c:v>
                </c:pt>
              </c:numCache>
            </c:numRef>
          </c:val>
        </c:ser>
        <c:dLbls>
          <c:showLegendKey val="0"/>
          <c:showVal val="0"/>
          <c:showCatName val="0"/>
          <c:showSerName val="0"/>
          <c:showPercent val="0"/>
          <c:showBubbleSize val="0"/>
        </c:dLbls>
        <c:gapWidth val="500"/>
        <c:overlap val="-71"/>
        <c:axId val="234976560"/>
        <c:axId val="236353512"/>
      </c:barChart>
      <c:catAx>
        <c:axId val="234976560"/>
        <c:scaling>
          <c:orientation val="minMax"/>
        </c:scaling>
        <c:delete val="1"/>
        <c:axPos val="b"/>
        <c:numFmt formatCode="General" sourceLinked="1"/>
        <c:majorTickMark val="none"/>
        <c:minorTickMark val="none"/>
        <c:tickLblPos val="nextTo"/>
        <c:crossAx val="236353512"/>
        <c:crosses val="autoZero"/>
        <c:auto val="1"/>
        <c:lblAlgn val="ctr"/>
        <c:lblOffset val="100"/>
        <c:noMultiLvlLbl val="0"/>
      </c:catAx>
      <c:valAx>
        <c:axId val="2363535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49765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120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overview'!$G$12</c:f>
              <c:numCache>
                <c:formatCode>_-* #,##0_-;\-* #,##0_-;_-* "-"??_-;_-@_-</c:formatCode>
                <c:ptCount val="1"/>
                <c:pt idx="0">
                  <c:v>332</c:v>
                </c:pt>
              </c:numCache>
            </c:numRef>
          </c:val>
        </c:ser>
        <c:dLbls>
          <c:showLegendKey val="0"/>
          <c:showVal val="0"/>
          <c:showCatName val="0"/>
          <c:showSerName val="0"/>
          <c:showPercent val="0"/>
          <c:showBubbleSize val="0"/>
        </c:dLbls>
        <c:gapWidth val="500"/>
        <c:overlap val="-71"/>
        <c:axId val="236354296"/>
        <c:axId val="236354688"/>
      </c:barChart>
      <c:catAx>
        <c:axId val="236354296"/>
        <c:scaling>
          <c:orientation val="minMax"/>
        </c:scaling>
        <c:delete val="1"/>
        <c:axPos val="b"/>
        <c:numFmt formatCode="General" sourceLinked="1"/>
        <c:majorTickMark val="none"/>
        <c:minorTickMark val="none"/>
        <c:tickLblPos val="nextTo"/>
        <c:crossAx val="236354688"/>
        <c:crosses val="autoZero"/>
        <c:auto val="1"/>
        <c:lblAlgn val="ctr"/>
        <c:lblOffset val="100"/>
        <c:noMultiLvlLbl val="0"/>
      </c:catAx>
      <c:valAx>
        <c:axId val="2363546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63542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181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overview'!$G$15</c:f>
              <c:numCache>
                <c:formatCode>_-* #,##0_-;\-* #,##0_-;_-* "-"??_-;_-@_-</c:formatCode>
                <c:ptCount val="1"/>
                <c:pt idx="0">
                  <c:v>211</c:v>
                </c:pt>
              </c:numCache>
            </c:numRef>
          </c:val>
        </c:ser>
        <c:dLbls>
          <c:showLegendKey val="0"/>
          <c:showVal val="0"/>
          <c:showCatName val="0"/>
          <c:showSerName val="0"/>
          <c:showPercent val="0"/>
          <c:showBubbleSize val="0"/>
        </c:dLbls>
        <c:gapWidth val="500"/>
        <c:overlap val="-71"/>
        <c:axId val="236355472"/>
        <c:axId val="236355864"/>
      </c:barChart>
      <c:catAx>
        <c:axId val="236355472"/>
        <c:scaling>
          <c:orientation val="minMax"/>
        </c:scaling>
        <c:delete val="1"/>
        <c:axPos val="b"/>
        <c:numFmt formatCode="General" sourceLinked="1"/>
        <c:majorTickMark val="none"/>
        <c:minorTickMark val="none"/>
        <c:tickLblPos val="nextTo"/>
        <c:crossAx val="236355864"/>
        <c:crosses val="autoZero"/>
        <c:auto val="1"/>
        <c:lblAlgn val="ctr"/>
        <c:lblOffset val="100"/>
        <c:noMultiLvlLbl val="0"/>
      </c:catAx>
      <c:valAx>
        <c:axId val="2363558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63554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20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overview'!$G$16</c:f>
              <c:numCache>
                <c:formatCode>_-* #,##0_-;\-* #,##0_-;_-* "-"??_-;_-@_-</c:formatCode>
                <c:ptCount val="1"/>
                <c:pt idx="0">
                  <c:v>635</c:v>
                </c:pt>
              </c:numCache>
            </c:numRef>
          </c:val>
        </c:ser>
        <c:dLbls>
          <c:showLegendKey val="0"/>
          <c:showVal val="0"/>
          <c:showCatName val="0"/>
          <c:showSerName val="0"/>
          <c:showPercent val="0"/>
          <c:showBubbleSize val="0"/>
        </c:dLbls>
        <c:gapWidth val="500"/>
        <c:overlap val="-71"/>
        <c:axId val="236356648"/>
        <c:axId val="236357040"/>
      </c:barChart>
      <c:catAx>
        <c:axId val="236356648"/>
        <c:scaling>
          <c:orientation val="minMax"/>
        </c:scaling>
        <c:delete val="1"/>
        <c:axPos val="b"/>
        <c:numFmt formatCode="General" sourceLinked="1"/>
        <c:majorTickMark val="none"/>
        <c:minorTickMark val="none"/>
        <c:tickLblPos val="nextTo"/>
        <c:crossAx val="236357040"/>
        <c:crosses val="autoZero"/>
        <c:auto val="1"/>
        <c:lblAlgn val="ctr"/>
        <c:lblOffset val="100"/>
        <c:noMultiLvlLbl val="0"/>
      </c:catAx>
      <c:valAx>
        <c:axId val="2363570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63566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50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overview'!$G$17</c:f>
              <c:numCache>
                <c:formatCode>_-* #,##0_-;\-* #,##0_-;_-* "-"??_-;_-@_-</c:formatCode>
                <c:ptCount val="1"/>
                <c:pt idx="0">
                  <c:v>4</c:v>
                </c:pt>
              </c:numCache>
            </c:numRef>
          </c:val>
        </c:ser>
        <c:dLbls>
          <c:showLegendKey val="0"/>
          <c:showVal val="0"/>
          <c:showCatName val="0"/>
          <c:showSerName val="0"/>
          <c:showPercent val="0"/>
          <c:showBubbleSize val="0"/>
        </c:dLbls>
        <c:gapWidth val="500"/>
        <c:overlap val="-71"/>
        <c:axId val="236706632"/>
        <c:axId val="236707024"/>
      </c:barChart>
      <c:catAx>
        <c:axId val="236706632"/>
        <c:scaling>
          <c:orientation val="minMax"/>
        </c:scaling>
        <c:delete val="1"/>
        <c:axPos val="b"/>
        <c:numFmt formatCode="General" sourceLinked="1"/>
        <c:majorTickMark val="none"/>
        <c:minorTickMark val="none"/>
        <c:tickLblPos val="nextTo"/>
        <c:crossAx val="236707024"/>
        <c:crosses val="autoZero"/>
        <c:auto val="1"/>
        <c:lblAlgn val="ctr"/>
        <c:lblOffset val="100"/>
        <c:noMultiLvlLbl val="0"/>
      </c:catAx>
      <c:valAx>
        <c:axId val="2367070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67066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overview'!$G$18</c:f>
              <c:numCache>
                <c:formatCode>_-* #,##0_-;\-* #,##0_-;_-* "-"??_-;_-@_-</c:formatCode>
                <c:ptCount val="1"/>
                <c:pt idx="0">
                  <c:v>144</c:v>
                </c:pt>
              </c:numCache>
            </c:numRef>
          </c:val>
        </c:ser>
        <c:dLbls>
          <c:showLegendKey val="0"/>
          <c:showVal val="0"/>
          <c:showCatName val="0"/>
          <c:showSerName val="0"/>
          <c:showPercent val="0"/>
          <c:showBubbleSize val="0"/>
        </c:dLbls>
        <c:gapWidth val="500"/>
        <c:overlap val="-71"/>
        <c:axId val="236707808"/>
        <c:axId val="236708200"/>
      </c:barChart>
      <c:catAx>
        <c:axId val="236707808"/>
        <c:scaling>
          <c:orientation val="minMax"/>
        </c:scaling>
        <c:delete val="1"/>
        <c:axPos val="b"/>
        <c:numFmt formatCode="General" sourceLinked="1"/>
        <c:majorTickMark val="none"/>
        <c:minorTickMark val="none"/>
        <c:tickLblPos val="nextTo"/>
        <c:crossAx val="236708200"/>
        <c:crosses val="autoZero"/>
        <c:auto val="1"/>
        <c:lblAlgn val="ctr"/>
        <c:lblOffset val="100"/>
        <c:noMultiLvlLbl val="0"/>
      </c:catAx>
      <c:valAx>
        <c:axId val="2367082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67078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overview'!$G$19</c:f>
              <c:numCache>
                <c:formatCode>_-* #,##0_-;\-* #,##0_-;_-* "-"??_-;_-@_-</c:formatCode>
                <c:ptCount val="1"/>
                <c:pt idx="0">
                  <c:v>36</c:v>
                </c:pt>
              </c:numCache>
            </c:numRef>
          </c:val>
        </c:ser>
        <c:dLbls>
          <c:showLegendKey val="0"/>
          <c:showVal val="0"/>
          <c:showCatName val="0"/>
          <c:showSerName val="0"/>
          <c:showPercent val="0"/>
          <c:showBubbleSize val="0"/>
        </c:dLbls>
        <c:gapWidth val="500"/>
        <c:overlap val="-71"/>
        <c:axId val="236708984"/>
        <c:axId val="236709376"/>
      </c:barChart>
      <c:catAx>
        <c:axId val="236708984"/>
        <c:scaling>
          <c:orientation val="minMax"/>
        </c:scaling>
        <c:delete val="1"/>
        <c:axPos val="b"/>
        <c:numFmt formatCode="General" sourceLinked="1"/>
        <c:majorTickMark val="none"/>
        <c:minorTickMark val="none"/>
        <c:tickLblPos val="nextTo"/>
        <c:crossAx val="236709376"/>
        <c:crosses val="autoZero"/>
        <c:auto val="1"/>
        <c:lblAlgn val="ctr"/>
        <c:lblOffset val="100"/>
        <c:noMultiLvlLbl val="0"/>
      </c:catAx>
      <c:valAx>
        <c:axId val="2367093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67089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133</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overview'!$G$20</c:f>
              <c:numCache>
                <c:formatCode>_-* #,##0_-;\-* #,##0_-;_-* "-"??_-;_-@_-</c:formatCode>
                <c:ptCount val="1"/>
                <c:pt idx="0">
                  <c:v>193</c:v>
                </c:pt>
              </c:numCache>
            </c:numRef>
          </c:val>
        </c:ser>
        <c:dLbls>
          <c:showLegendKey val="0"/>
          <c:showVal val="0"/>
          <c:showCatName val="0"/>
          <c:showSerName val="0"/>
          <c:showPercent val="0"/>
          <c:showBubbleSize val="0"/>
        </c:dLbls>
        <c:gapWidth val="500"/>
        <c:overlap val="-71"/>
        <c:axId val="237494232"/>
        <c:axId val="237494624"/>
      </c:barChart>
      <c:catAx>
        <c:axId val="237494232"/>
        <c:scaling>
          <c:orientation val="minMax"/>
        </c:scaling>
        <c:delete val="1"/>
        <c:axPos val="b"/>
        <c:numFmt formatCode="General" sourceLinked="1"/>
        <c:majorTickMark val="none"/>
        <c:minorTickMark val="none"/>
        <c:tickLblPos val="nextTo"/>
        <c:crossAx val="237494624"/>
        <c:crosses val="autoZero"/>
        <c:auto val="1"/>
        <c:lblAlgn val="ctr"/>
        <c:lblOffset val="100"/>
        <c:noMultiLvlLbl val="0"/>
      </c:catAx>
      <c:valAx>
        <c:axId val="2374946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4942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800"/>
            </a:solidFill>
            <a:ln>
              <a:noFill/>
            </a:ln>
            <a:effectLst/>
          </c:spPr>
          <c:invertIfNegative val="0"/>
          <c:val>
            <c:numRef>
              <c:f>'Shelter overview'!$F$21</c:f>
              <c:numCache>
                <c:formatCode>General</c:formatCode>
                <c:ptCount val="1"/>
                <c:pt idx="0">
                  <c:v>20</c:v>
                </c:pt>
              </c:numCache>
            </c:numRef>
          </c:val>
        </c:ser>
        <c:ser>
          <c:idx val="1"/>
          <c:order val="1"/>
          <c:spPr>
            <a:solidFill>
              <a:schemeClr val="accent2"/>
            </a:solidFill>
            <a:ln>
              <a:noFill/>
            </a:ln>
            <a:effectLst/>
          </c:spPr>
          <c:invertIfNegative val="0"/>
          <c:val>
            <c:numRef>
              <c:f>'Shelter overview'!$G$21</c:f>
              <c:numCache>
                <c:formatCode>_-* #,##0_-;\-* #,##0_-;_-* "-"??_-;_-@_-</c:formatCode>
                <c:ptCount val="1"/>
                <c:pt idx="0">
                  <c:v>15</c:v>
                </c:pt>
              </c:numCache>
            </c:numRef>
          </c:val>
        </c:ser>
        <c:dLbls>
          <c:showLegendKey val="0"/>
          <c:showVal val="0"/>
          <c:showCatName val="0"/>
          <c:showSerName val="0"/>
          <c:showPercent val="0"/>
          <c:showBubbleSize val="0"/>
        </c:dLbls>
        <c:gapWidth val="500"/>
        <c:overlap val="-71"/>
        <c:axId val="237495408"/>
        <c:axId val="237495800"/>
      </c:barChart>
      <c:catAx>
        <c:axId val="237495408"/>
        <c:scaling>
          <c:orientation val="minMax"/>
        </c:scaling>
        <c:delete val="1"/>
        <c:axPos val="b"/>
        <c:numFmt formatCode="General" sourceLinked="1"/>
        <c:majorTickMark val="none"/>
        <c:minorTickMark val="none"/>
        <c:tickLblPos val="nextTo"/>
        <c:crossAx val="237495800"/>
        <c:crosses val="autoZero"/>
        <c:auto val="1"/>
        <c:lblAlgn val="ctr"/>
        <c:lblOffset val="100"/>
        <c:noMultiLvlLbl val="0"/>
      </c:catAx>
      <c:valAx>
        <c:axId val="2374958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4954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65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overview'!$G$22</c:f>
              <c:numCache>
                <c:formatCode>_-* #,##0_-;\-* #,##0_-;_-* "-"??_-;_-@_-</c:formatCode>
                <c:ptCount val="1"/>
                <c:pt idx="0">
                  <c:v>816</c:v>
                </c:pt>
              </c:numCache>
            </c:numRef>
          </c:val>
        </c:ser>
        <c:dLbls>
          <c:showLegendKey val="0"/>
          <c:showVal val="0"/>
          <c:showCatName val="0"/>
          <c:showSerName val="0"/>
          <c:showPercent val="0"/>
          <c:showBubbleSize val="0"/>
        </c:dLbls>
        <c:gapWidth val="500"/>
        <c:overlap val="-71"/>
        <c:axId val="237496584"/>
        <c:axId val="237496976"/>
      </c:barChart>
      <c:catAx>
        <c:axId val="237496584"/>
        <c:scaling>
          <c:orientation val="minMax"/>
        </c:scaling>
        <c:delete val="1"/>
        <c:axPos val="b"/>
        <c:numFmt formatCode="General" sourceLinked="1"/>
        <c:majorTickMark val="none"/>
        <c:minorTickMark val="none"/>
        <c:tickLblPos val="nextTo"/>
        <c:crossAx val="237496976"/>
        <c:crosses val="autoZero"/>
        <c:auto val="1"/>
        <c:lblAlgn val="ctr"/>
        <c:lblOffset val="100"/>
        <c:noMultiLvlLbl val="0"/>
      </c:catAx>
      <c:valAx>
        <c:axId val="237496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4965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49678</c:v>
                </c:pt>
                <c:pt idx="1">
                  <c:v>5467</c:v>
                </c:pt>
                <c:pt idx="2">
                  <c:v>0</c:v>
                </c:pt>
                <c:pt idx="3">
                  <c:v>4632</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49678</c:v>
                </c:pt>
                <c:pt idx="1">
                  <c:v>5467</c:v>
                </c:pt>
                <c:pt idx="2">
                  <c:v>0</c:v>
                </c:pt>
                <c:pt idx="3">
                  <c:v>4632</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49678</c:v>
                </c:pt>
                <c:pt idx="1">
                  <c:v>5467</c:v>
                </c:pt>
                <c:pt idx="2">
                  <c:v>0</c:v>
                </c:pt>
                <c:pt idx="3">
                  <c:v>4632</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49678</c:v>
                </c:pt>
                <c:pt idx="1">
                  <c:v>5467</c:v>
                </c:pt>
                <c:pt idx="2">
                  <c:v>0</c:v>
                </c:pt>
                <c:pt idx="3">
                  <c:v>4632</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49678</c:v>
                </c:pt>
                <c:pt idx="1">
                  <c:v>5467</c:v>
                </c:pt>
                <c:pt idx="2">
                  <c:v>0</c:v>
                </c:pt>
                <c:pt idx="3">
                  <c:v>4632</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49678</c:v>
                </c:pt>
                <c:pt idx="1">
                  <c:v>5467</c:v>
                </c:pt>
                <c:pt idx="2">
                  <c:v>0</c:v>
                </c:pt>
                <c:pt idx="3">
                  <c:v>4632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23</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overview'!$G$23</c:f>
              <c:numCache>
                <c:formatCode>_-* #,##0_-;\-* #,##0_-;_-* "-"??_-;_-@_-</c:formatCode>
                <c:ptCount val="1"/>
                <c:pt idx="0">
                  <c:v>96</c:v>
                </c:pt>
              </c:numCache>
            </c:numRef>
          </c:val>
        </c:ser>
        <c:dLbls>
          <c:showLegendKey val="0"/>
          <c:showVal val="0"/>
          <c:showCatName val="0"/>
          <c:showSerName val="0"/>
          <c:showPercent val="0"/>
          <c:showBubbleSize val="0"/>
        </c:dLbls>
        <c:gapWidth val="500"/>
        <c:overlap val="-71"/>
        <c:axId val="237497760"/>
        <c:axId val="237567968"/>
      </c:barChart>
      <c:catAx>
        <c:axId val="237497760"/>
        <c:scaling>
          <c:orientation val="minMax"/>
        </c:scaling>
        <c:delete val="1"/>
        <c:axPos val="b"/>
        <c:numFmt formatCode="General" sourceLinked="1"/>
        <c:majorTickMark val="none"/>
        <c:minorTickMark val="none"/>
        <c:tickLblPos val="nextTo"/>
        <c:crossAx val="237567968"/>
        <c:crosses val="autoZero"/>
        <c:auto val="1"/>
        <c:lblAlgn val="ctr"/>
        <c:lblOffset val="100"/>
        <c:noMultiLvlLbl val="0"/>
      </c:catAx>
      <c:valAx>
        <c:axId val="237567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4977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25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overview'!$G$24</c:f>
              <c:numCache>
                <c:formatCode>_-* #,##0_-;\-* #,##0_-;_-* "-"??_-;_-@_-</c:formatCode>
                <c:ptCount val="1"/>
                <c:pt idx="0">
                  <c:v>66</c:v>
                </c:pt>
              </c:numCache>
            </c:numRef>
          </c:val>
        </c:ser>
        <c:dLbls>
          <c:showLegendKey val="0"/>
          <c:showVal val="0"/>
          <c:showCatName val="0"/>
          <c:showSerName val="0"/>
          <c:showPercent val="0"/>
          <c:showBubbleSize val="0"/>
        </c:dLbls>
        <c:gapWidth val="500"/>
        <c:overlap val="-71"/>
        <c:axId val="237568752"/>
        <c:axId val="237569144"/>
      </c:barChart>
      <c:catAx>
        <c:axId val="237568752"/>
        <c:scaling>
          <c:orientation val="minMax"/>
        </c:scaling>
        <c:delete val="1"/>
        <c:axPos val="b"/>
        <c:numFmt formatCode="General" sourceLinked="1"/>
        <c:majorTickMark val="none"/>
        <c:minorTickMark val="none"/>
        <c:tickLblPos val="nextTo"/>
        <c:crossAx val="237569144"/>
        <c:crosses val="autoZero"/>
        <c:auto val="1"/>
        <c:lblAlgn val="ctr"/>
        <c:lblOffset val="100"/>
        <c:noMultiLvlLbl val="0"/>
      </c:catAx>
      <c:valAx>
        <c:axId val="237569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5687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overview'!$G$26</c:f>
              <c:numCache>
                <c:formatCode>_-* #,##0_-;\-* #,##0_-;_-* "-"??_-;_-@_-</c:formatCode>
                <c:ptCount val="1"/>
                <c:pt idx="0">
                  <c:v>37</c:v>
                </c:pt>
              </c:numCache>
            </c:numRef>
          </c:val>
        </c:ser>
        <c:dLbls>
          <c:showLegendKey val="0"/>
          <c:showVal val="0"/>
          <c:showCatName val="0"/>
          <c:showSerName val="0"/>
          <c:showPercent val="0"/>
          <c:showBubbleSize val="0"/>
        </c:dLbls>
        <c:gapWidth val="500"/>
        <c:overlap val="-71"/>
        <c:axId val="237569928"/>
        <c:axId val="237570320"/>
      </c:barChart>
      <c:catAx>
        <c:axId val="237569928"/>
        <c:scaling>
          <c:orientation val="minMax"/>
        </c:scaling>
        <c:delete val="1"/>
        <c:axPos val="b"/>
        <c:numFmt formatCode="General" sourceLinked="1"/>
        <c:majorTickMark val="none"/>
        <c:minorTickMark val="none"/>
        <c:tickLblPos val="nextTo"/>
        <c:crossAx val="237570320"/>
        <c:crosses val="autoZero"/>
        <c:auto val="1"/>
        <c:lblAlgn val="ctr"/>
        <c:lblOffset val="100"/>
        <c:noMultiLvlLbl val="0"/>
      </c:catAx>
      <c:valAx>
        <c:axId val="237570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569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overview'!$G$27</c:f>
              <c:numCache>
                <c:formatCode>_-* #,##0_-;\-* #,##0_-;_-* "-"??_-;_-@_-</c:formatCode>
                <c:ptCount val="1"/>
                <c:pt idx="0">
                  <c:v>141</c:v>
                </c:pt>
              </c:numCache>
            </c:numRef>
          </c:val>
        </c:ser>
        <c:dLbls>
          <c:showLegendKey val="0"/>
          <c:showVal val="0"/>
          <c:showCatName val="0"/>
          <c:showSerName val="0"/>
          <c:showPercent val="0"/>
          <c:showBubbleSize val="0"/>
        </c:dLbls>
        <c:gapWidth val="500"/>
        <c:overlap val="-71"/>
        <c:axId val="237571104"/>
        <c:axId val="237571496"/>
      </c:barChart>
      <c:catAx>
        <c:axId val="237571104"/>
        <c:scaling>
          <c:orientation val="minMax"/>
        </c:scaling>
        <c:delete val="1"/>
        <c:axPos val="b"/>
        <c:numFmt formatCode="General" sourceLinked="1"/>
        <c:majorTickMark val="none"/>
        <c:minorTickMark val="none"/>
        <c:tickLblPos val="nextTo"/>
        <c:crossAx val="237571496"/>
        <c:crosses val="autoZero"/>
        <c:auto val="1"/>
        <c:lblAlgn val="ctr"/>
        <c:lblOffset val="100"/>
        <c:noMultiLvlLbl val="0"/>
      </c:catAx>
      <c:valAx>
        <c:axId val="237571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571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344</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overview'!$G$29</c:f>
              <c:numCache>
                <c:formatCode>_-* #,##0_-;\-* #,##0_-;_-* "-"??_-;_-@_-</c:formatCode>
                <c:ptCount val="1"/>
                <c:pt idx="0">
                  <c:v>933</c:v>
                </c:pt>
              </c:numCache>
            </c:numRef>
          </c:val>
        </c:ser>
        <c:dLbls>
          <c:showLegendKey val="0"/>
          <c:showVal val="0"/>
          <c:showCatName val="0"/>
          <c:showSerName val="0"/>
          <c:showPercent val="0"/>
          <c:showBubbleSize val="0"/>
        </c:dLbls>
        <c:gapWidth val="500"/>
        <c:overlap val="-71"/>
        <c:axId val="237776216"/>
        <c:axId val="237776608"/>
      </c:barChart>
      <c:catAx>
        <c:axId val="237776216"/>
        <c:scaling>
          <c:orientation val="minMax"/>
        </c:scaling>
        <c:delete val="1"/>
        <c:axPos val="b"/>
        <c:numFmt formatCode="General" sourceLinked="1"/>
        <c:majorTickMark val="none"/>
        <c:minorTickMark val="none"/>
        <c:tickLblPos val="nextTo"/>
        <c:crossAx val="237776608"/>
        <c:crosses val="autoZero"/>
        <c:auto val="1"/>
        <c:lblAlgn val="ctr"/>
        <c:lblOffset val="100"/>
        <c:noMultiLvlLbl val="0"/>
      </c:catAx>
      <c:valAx>
        <c:axId val="2377766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7762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sep2017.xlsx]NFI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a:t>
            </a:r>
          </a:p>
          <a:p>
            <a:pPr>
              <a:defRPr sz="1050">
                <a:solidFill>
                  <a:sysClr val="windowText" lastClr="000000"/>
                </a:solidFill>
              </a:defRPr>
            </a:pPr>
            <a:r>
              <a:rPr lang="en-US" sz="800" b="0">
                <a:solidFill>
                  <a:sysClr val="windowText" lastClr="000000"/>
                </a:solidFill>
              </a:rPr>
              <a:t>(August 2017)</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Summary'!$AP$34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Summary'!$AO$35:$AO$43</c:f>
              <c:strCache>
                <c:ptCount val="8"/>
                <c:pt idx="0">
                  <c:v>Metta</c:v>
                </c:pt>
                <c:pt idx="1">
                  <c:v>MRCS</c:v>
                </c:pt>
                <c:pt idx="2">
                  <c:v>NRC</c:v>
                </c:pt>
                <c:pt idx="3">
                  <c:v>NRC/KBC</c:v>
                </c:pt>
                <c:pt idx="4">
                  <c:v>Solidarites</c:v>
                </c:pt>
                <c:pt idx="5">
                  <c:v>UNHCR</c:v>
                </c:pt>
                <c:pt idx="6">
                  <c:v>UNHCR/Shalom</c:v>
                </c:pt>
                <c:pt idx="7">
                  <c:v>SI</c:v>
                </c:pt>
              </c:strCache>
            </c:strRef>
          </c:cat>
          <c:val>
            <c:numRef>
              <c:f>'NFI Summary'!$AP$35:$AP$43</c:f>
              <c:numCache>
                <c:formatCode>General</c:formatCode>
                <c:ptCount val="8"/>
                <c:pt idx="0">
                  <c:v>1</c:v>
                </c:pt>
                <c:pt idx="1">
                  <c:v>1</c:v>
                </c:pt>
                <c:pt idx="2">
                  <c:v>18</c:v>
                </c:pt>
                <c:pt idx="3">
                  <c:v>6</c:v>
                </c:pt>
                <c:pt idx="4">
                  <c:v>19</c:v>
                </c:pt>
                <c:pt idx="5">
                  <c:v>43</c:v>
                </c:pt>
                <c:pt idx="6">
                  <c:v>4</c:v>
                </c:pt>
                <c:pt idx="7">
                  <c:v>2</c:v>
                </c:pt>
              </c:numCache>
            </c:numRef>
          </c:val>
        </c:ser>
        <c:dLbls>
          <c:showLegendKey val="0"/>
          <c:showVal val="0"/>
          <c:showCatName val="0"/>
          <c:showSerName val="0"/>
          <c:showPercent val="0"/>
          <c:showBubbleSize val="0"/>
        </c:dLbls>
        <c:gapWidth val="219"/>
        <c:overlap val="-27"/>
        <c:axId val="237777784"/>
        <c:axId val="237778568"/>
      </c:barChart>
      <c:catAx>
        <c:axId val="23777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7778568"/>
        <c:crosses val="autoZero"/>
        <c:auto val="1"/>
        <c:lblAlgn val="ctr"/>
        <c:lblOffset val="100"/>
        <c:noMultiLvlLbl val="0"/>
      </c:catAx>
      <c:valAx>
        <c:axId val="237778568"/>
        <c:scaling>
          <c:orientation val="minMax"/>
        </c:scaling>
        <c:delete val="1"/>
        <c:axPos val="l"/>
        <c:numFmt formatCode="General" sourceLinked="1"/>
        <c:majorTickMark val="none"/>
        <c:minorTickMark val="none"/>
        <c:tickLblPos val="nextTo"/>
        <c:crossAx val="237777784"/>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sep2017.xlsx]NFI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a:t>
            </a:r>
            <a:endParaRPr lang="en-US" sz="800" b="0">
              <a:solidFill>
                <a:sysClr val="windowText" lastClr="000000"/>
              </a:solidFill>
            </a:endParaRPr>
          </a:p>
        </c:rich>
      </c:tx>
      <c:layout>
        <c:manualLayout>
          <c:xMode val="edge"/>
          <c:yMode val="edge"/>
          <c:x val="0.29407411476198969"/>
          <c:y val="6.26641898900767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704068241469827E-2"/>
          <c:y val="0.15558965894135757"/>
          <c:w val="0.96562926509186353"/>
          <c:h val="0.48678097235660323"/>
        </c:manualLayout>
      </c:layout>
      <c:barChart>
        <c:barDir val="col"/>
        <c:grouping val="clustered"/>
        <c:varyColors val="0"/>
        <c:ser>
          <c:idx val="0"/>
          <c:order val="0"/>
          <c:tx>
            <c:strRef>
              <c:f>'NFI Summary'!$AP$4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Summary'!$AO$5:$AO$14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Summary'!$AP$5:$AP$14</c:f>
              <c:numCache>
                <c:formatCode>General</c:formatCode>
                <c:ptCount val="10"/>
                <c:pt idx="0">
                  <c:v>288</c:v>
                </c:pt>
                <c:pt idx="1">
                  <c:v>639</c:v>
                </c:pt>
                <c:pt idx="2">
                  <c:v>2687</c:v>
                </c:pt>
                <c:pt idx="3">
                  <c:v>2490</c:v>
                </c:pt>
                <c:pt idx="4">
                  <c:v>863</c:v>
                </c:pt>
                <c:pt idx="5">
                  <c:v>3550</c:v>
                </c:pt>
                <c:pt idx="6">
                  <c:v>1135</c:v>
                </c:pt>
                <c:pt idx="7">
                  <c:v>591</c:v>
                </c:pt>
                <c:pt idx="8">
                  <c:v>2756</c:v>
                </c:pt>
                <c:pt idx="9">
                  <c:v>596</c:v>
                </c:pt>
              </c:numCache>
            </c:numRef>
          </c:val>
        </c:ser>
        <c:dLbls>
          <c:dLblPos val="outEnd"/>
          <c:showLegendKey val="0"/>
          <c:showVal val="1"/>
          <c:showCatName val="0"/>
          <c:showSerName val="0"/>
          <c:showPercent val="0"/>
          <c:showBubbleSize val="0"/>
        </c:dLbls>
        <c:gapWidth val="219"/>
        <c:overlap val="-27"/>
        <c:axId val="237779352"/>
        <c:axId val="273472584"/>
      </c:barChart>
      <c:catAx>
        <c:axId val="23777935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3472584"/>
        <c:crosses val="autoZero"/>
        <c:auto val="1"/>
        <c:lblAlgn val="ctr"/>
        <c:lblOffset val="100"/>
        <c:noMultiLvlLbl val="0"/>
      </c:catAx>
      <c:valAx>
        <c:axId val="273472584"/>
        <c:scaling>
          <c:orientation val="minMax"/>
        </c:scaling>
        <c:delete val="1"/>
        <c:axPos val="l"/>
        <c:numFmt formatCode="General" sourceLinked="1"/>
        <c:majorTickMark val="none"/>
        <c:minorTickMark val="none"/>
        <c:tickLblPos val="nextTo"/>
        <c:crossAx val="237779352"/>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sep2017.xlsx]NFI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9747064137308039E-2"/>
          <c:y val="0.22416447944006998"/>
          <c:w val="0.9205058717253839"/>
          <c:h val="0.44316284722767696"/>
        </c:manualLayout>
      </c:layout>
      <c:barChart>
        <c:barDir val="col"/>
        <c:grouping val="clustered"/>
        <c:varyColors val="0"/>
        <c:ser>
          <c:idx val="0"/>
          <c:order val="0"/>
          <c:tx>
            <c:strRef>
              <c:f>'NFI Summary'!$AP$18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Summary'!$AO$19:$AO$33</c:f>
              <c:strCache>
                <c:ptCount val="15"/>
                <c:pt idx="0">
                  <c:v>Bhamo</c:v>
                </c:pt>
                <c:pt idx="1">
                  <c:v>Chipwi</c:v>
                </c:pt>
                <c:pt idx="2">
                  <c:v>Hpakant</c:v>
                </c:pt>
                <c:pt idx="3">
                  <c:v>Hseni</c:v>
                </c:pt>
                <c:pt idx="4">
                  <c:v>Kutkai</c:v>
                </c:pt>
                <c:pt idx="5">
                  <c:v>Mansi</c:v>
                </c:pt>
                <c:pt idx="6">
                  <c:v>Momauk</c:v>
                </c:pt>
                <c:pt idx="7">
                  <c:v>Myitkyina</c:v>
                </c:pt>
                <c:pt idx="8">
                  <c:v>Namtu</c:v>
                </c:pt>
                <c:pt idx="9">
                  <c:v>Shwegu</c:v>
                </c:pt>
                <c:pt idx="10">
                  <c:v>Sumprabum</c:v>
                </c:pt>
                <c:pt idx="11">
                  <c:v>Tanai</c:v>
                </c:pt>
                <c:pt idx="12">
                  <c:v>Waingmaw</c:v>
                </c:pt>
                <c:pt idx="13">
                  <c:v>Swegu</c:v>
                </c:pt>
                <c:pt idx="14">
                  <c:v>Waignmaw</c:v>
                </c:pt>
              </c:strCache>
            </c:strRef>
          </c:cat>
          <c:val>
            <c:numRef>
              <c:f>'NFI Summary'!$AP$19:$AP$33</c:f>
              <c:numCache>
                <c:formatCode>General</c:formatCode>
                <c:ptCount val="15"/>
                <c:pt idx="0">
                  <c:v>12</c:v>
                </c:pt>
                <c:pt idx="1">
                  <c:v>2</c:v>
                </c:pt>
                <c:pt idx="2">
                  <c:v>1</c:v>
                </c:pt>
                <c:pt idx="3">
                  <c:v>1</c:v>
                </c:pt>
                <c:pt idx="4">
                  <c:v>5</c:v>
                </c:pt>
                <c:pt idx="5">
                  <c:v>15</c:v>
                </c:pt>
                <c:pt idx="6">
                  <c:v>3</c:v>
                </c:pt>
                <c:pt idx="7">
                  <c:v>13</c:v>
                </c:pt>
                <c:pt idx="8">
                  <c:v>4</c:v>
                </c:pt>
                <c:pt idx="9">
                  <c:v>2</c:v>
                </c:pt>
                <c:pt idx="10">
                  <c:v>2</c:v>
                </c:pt>
                <c:pt idx="11">
                  <c:v>3</c:v>
                </c:pt>
                <c:pt idx="12">
                  <c:v>25</c:v>
                </c:pt>
                <c:pt idx="13">
                  <c:v>4</c:v>
                </c:pt>
                <c:pt idx="14">
                  <c:v>2</c:v>
                </c:pt>
              </c:numCache>
            </c:numRef>
          </c:val>
        </c:ser>
        <c:dLbls>
          <c:dLblPos val="outEnd"/>
          <c:showLegendKey val="0"/>
          <c:showVal val="1"/>
          <c:showCatName val="0"/>
          <c:showSerName val="0"/>
          <c:showPercent val="0"/>
          <c:showBubbleSize val="0"/>
        </c:dLbls>
        <c:gapWidth val="219"/>
        <c:overlap val="-27"/>
        <c:axId val="273473368"/>
        <c:axId val="273473760"/>
      </c:barChart>
      <c:catAx>
        <c:axId val="27347336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3473760"/>
        <c:crosses val="autoZero"/>
        <c:auto val="1"/>
        <c:lblAlgn val="ctr"/>
        <c:lblOffset val="100"/>
        <c:noMultiLvlLbl val="0"/>
      </c:catAx>
      <c:valAx>
        <c:axId val="273473760"/>
        <c:scaling>
          <c:orientation val="minMax"/>
        </c:scaling>
        <c:delete val="1"/>
        <c:axPos val="l"/>
        <c:numFmt formatCode="General" sourceLinked="1"/>
        <c:majorTickMark val="none"/>
        <c:minorTickMark val="none"/>
        <c:tickLblPos val="nextTo"/>
        <c:crossAx val="27347336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37634</c:v>
                </c:pt>
                <c:pt idx="1">
                  <c:v>392</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89267</c:v>
                </c:pt>
                <c:pt idx="1">
                  <c:v>9408</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38898</c:v>
                </c:pt>
                <c:pt idx="1">
                  <c:v>59777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22</c:v>
                </c:pt>
                <c:pt idx="3">
                  <c:v>0</c:v>
                </c:pt>
                <c:pt idx="4">
                  <c:v>0</c:v>
                </c:pt>
                <c:pt idx="5">
                  <c:v>0</c:v>
                </c:pt>
                <c:pt idx="6">
                  <c:v>11</c:v>
                </c:pt>
                <c:pt idx="7">
                  <c:v>5</c:v>
                </c:pt>
                <c:pt idx="8">
                  <c:v>4</c:v>
                </c:pt>
                <c:pt idx="9">
                  <c:v>15</c:v>
                </c:pt>
                <c:pt idx="10">
                  <c:v>22</c:v>
                </c:pt>
                <c:pt idx="11">
                  <c:v>3</c:v>
                </c:pt>
                <c:pt idx="12">
                  <c:v>3</c:v>
                </c:pt>
                <c:pt idx="13">
                  <c:v>3</c:v>
                </c:pt>
                <c:pt idx="14">
                  <c:v>4</c:v>
                </c:pt>
                <c:pt idx="15">
                  <c:v>23</c:v>
                </c:pt>
                <c:pt idx="16">
                  <c:v>2</c:v>
                </c:pt>
                <c:pt idx="17">
                  <c:v>14</c:v>
                </c:pt>
                <c:pt idx="18">
                  <c:v>3</c:v>
                </c:pt>
                <c:pt idx="19">
                  <c:v>4</c:v>
                </c:pt>
                <c:pt idx="20">
                  <c:v>6</c:v>
                </c:pt>
                <c:pt idx="21">
                  <c:v>1</c:v>
                </c:pt>
                <c:pt idx="22">
                  <c:v>4</c:v>
                </c:pt>
              </c:numCache>
            </c:numRef>
          </c:val>
        </c:ser>
        <c:dLbls>
          <c:showLegendKey val="0"/>
          <c:showVal val="0"/>
          <c:showCatName val="0"/>
          <c:showSerName val="0"/>
          <c:showPercent val="0"/>
          <c:showBubbleSize val="0"/>
        </c:dLbls>
        <c:gapWidth val="219"/>
        <c:axId val="231915040"/>
        <c:axId val="231915432"/>
      </c:barChart>
      <c:catAx>
        <c:axId val="231915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31915432"/>
        <c:crosses val="autoZero"/>
        <c:auto val="1"/>
        <c:lblAlgn val="ctr"/>
        <c:lblOffset val="100"/>
        <c:noMultiLvlLbl val="0"/>
      </c:catAx>
      <c:valAx>
        <c:axId val="231915432"/>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915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89267</c:v>
                </c:pt>
                <c:pt idx="1">
                  <c:v>9408</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8306</c:v>
                </c:pt>
                <c:pt idx="1">
                  <c:v>2569</c:v>
                </c:pt>
                <c:pt idx="2">
                  <c:v>3590</c:v>
                </c:pt>
                <c:pt idx="3">
                  <c:v>12961</c:v>
                </c:pt>
                <c:pt idx="4">
                  <c:v>349</c:v>
                </c:pt>
                <c:pt idx="5">
                  <c:v>350</c:v>
                </c:pt>
                <c:pt idx="6">
                  <c:v>24769</c:v>
                </c:pt>
                <c:pt idx="7">
                  <c:v>7536</c:v>
                </c:pt>
                <c:pt idx="8">
                  <c:v>412</c:v>
                </c:pt>
                <c:pt idx="9">
                  <c:v>2177</c:v>
                </c:pt>
                <c:pt idx="10">
                  <c:v>764</c:v>
                </c:pt>
                <c:pt idx="11">
                  <c:v>992</c:v>
                </c:pt>
                <c:pt idx="12">
                  <c:v>24492</c:v>
                </c:pt>
                <c:pt idx="13">
                  <c:v>566</c:v>
                </c:pt>
                <c:pt idx="14">
                  <c:v>4317</c:v>
                </c:pt>
                <c:pt idx="15">
                  <c:v>534</c:v>
                </c:pt>
                <c:pt idx="16">
                  <c:v>1261</c:v>
                </c:pt>
                <c:pt idx="17">
                  <c:v>1960</c:v>
                </c:pt>
                <c:pt idx="18">
                  <c:v>120</c:v>
                </c:pt>
                <c:pt idx="19">
                  <c:v>650</c:v>
                </c:pt>
              </c:numCache>
            </c:numRef>
          </c:val>
        </c:ser>
        <c:dLbls>
          <c:showLegendKey val="0"/>
          <c:showVal val="0"/>
          <c:showCatName val="0"/>
          <c:showSerName val="0"/>
          <c:showPercent val="0"/>
          <c:showBubbleSize val="0"/>
        </c:dLbls>
        <c:gapWidth val="100"/>
        <c:overlap val="-24"/>
        <c:axId val="231914648"/>
        <c:axId val="231913864"/>
      </c:barChart>
      <c:catAx>
        <c:axId val="23191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1913864"/>
        <c:crosses val="autoZero"/>
        <c:auto val="1"/>
        <c:lblAlgn val="ctr"/>
        <c:lblOffset val="100"/>
        <c:noMultiLvlLbl val="0"/>
      </c:catAx>
      <c:valAx>
        <c:axId val="231913864"/>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1914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10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overview'!$G$10</c:f>
              <c:numCache>
                <c:formatCode>_-* #,##0_-;\-* #,##0_-;_-* "-"??_-;_-@_-</c:formatCode>
                <c:ptCount val="1"/>
                <c:pt idx="0">
                  <c:v>490</c:v>
                </c:pt>
              </c:numCache>
            </c:numRef>
          </c:val>
        </c:ser>
        <c:dLbls>
          <c:showLegendKey val="0"/>
          <c:showVal val="0"/>
          <c:showCatName val="0"/>
          <c:showSerName val="0"/>
          <c:showPercent val="0"/>
          <c:showBubbleSize val="0"/>
        </c:dLbls>
        <c:gapWidth val="500"/>
        <c:overlap val="-71"/>
        <c:axId val="234975384"/>
        <c:axId val="234975776"/>
      </c:barChart>
      <c:catAx>
        <c:axId val="234975384"/>
        <c:scaling>
          <c:orientation val="minMax"/>
        </c:scaling>
        <c:delete val="1"/>
        <c:axPos val="b"/>
        <c:majorTickMark val="none"/>
        <c:minorTickMark val="none"/>
        <c:tickLblPos val="nextTo"/>
        <c:crossAx val="234975776"/>
        <c:crosses val="autoZero"/>
        <c:auto val="1"/>
        <c:lblAlgn val="ctr"/>
        <c:lblOffset val="100"/>
        <c:noMultiLvlLbl val="0"/>
      </c:catAx>
      <c:valAx>
        <c:axId val="2349757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49753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chart" Target="../charts/chart26.xml"/><Relationship Id="rId3" Type="http://schemas.openxmlformats.org/officeDocument/2006/relationships/image" Target="../media/image1.png"/><Relationship Id="rId7" Type="http://schemas.microsoft.com/office/2007/relationships/hdphoto" Target="../media/hdphoto1.wdp"/><Relationship Id="rId12" Type="http://schemas.openxmlformats.org/officeDocument/2006/relationships/image" Target="../media/image25.png"/><Relationship Id="rId2" Type="http://schemas.openxmlformats.org/officeDocument/2006/relationships/image" Target="../media/image19.png"/><Relationship Id="rId16" Type="http://schemas.openxmlformats.org/officeDocument/2006/relationships/chart" Target="../charts/chart27.xml"/><Relationship Id="rId1" Type="http://schemas.openxmlformats.org/officeDocument/2006/relationships/chart" Target="../charts/chart25.xml"/><Relationship Id="rId6" Type="http://schemas.openxmlformats.org/officeDocument/2006/relationships/image" Target="../media/image20.png"/><Relationship Id="rId11" Type="http://schemas.openxmlformats.org/officeDocument/2006/relationships/image" Target="../media/image24.jpeg"/><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7.png"/><Relationship Id="rId10" Type="http://schemas.openxmlformats.org/officeDocument/2006/relationships/image" Target="../media/image23.gif"/><Relationship Id="rId4" Type="http://schemas.openxmlformats.org/officeDocument/2006/relationships/image" Target="../media/image3.png"/><Relationship Id="rId9" Type="http://schemas.openxmlformats.org/officeDocument/2006/relationships/image" Target="../media/image22.jpeg"/><Relationship Id="rId1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21" Type="http://schemas.openxmlformats.org/officeDocument/2006/relationships/image" Target="../media/image17.jpeg"/><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image" Target="../media/image16.jpeg"/><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22860</xdr:colOff>
      <xdr:row>2</xdr:row>
      <xdr:rowOff>182880</xdr:rowOff>
    </xdr:from>
    <xdr:to>
      <xdr:col>8</xdr:col>
      <xdr:colOff>160020</xdr:colOff>
      <xdr:row>2</xdr:row>
      <xdr:rowOff>297180</xdr:rowOff>
    </xdr:to>
    <xdr:sp macro="" textlink="">
      <xdr:nvSpPr>
        <xdr:cNvPr id="2" name="Rectangle 1"/>
        <xdr:cNvSpPr/>
      </xdr:nvSpPr>
      <xdr:spPr>
        <a:xfrm>
          <a:off x="3764280" y="487680"/>
          <a:ext cx="137160" cy="114300"/>
        </a:xfrm>
        <a:prstGeom prst="rect">
          <a:avLst/>
        </a:prstGeom>
        <a:solidFill>
          <a:schemeClr val="accent3">
            <a:lumMod val="40000"/>
            <a:lumOff val="60000"/>
          </a:schemeClr>
        </a:solidFill>
        <a:ln w="6350">
          <a:solidFill>
            <a:srgbClr val="6CA6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2099310</xdr:colOff>
      <xdr:row>2</xdr:row>
      <xdr:rowOff>175260</xdr:rowOff>
    </xdr:from>
    <xdr:to>
      <xdr:col>8</xdr:col>
      <xdr:colOff>2236470</xdr:colOff>
      <xdr:row>2</xdr:row>
      <xdr:rowOff>289560</xdr:rowOff>
    </xdr:to>
    <xdr:sp macro="" textlink="">
      <xdr:nvSpPr>
        <xdr:cNvPr id="18" name="Rectangle 17"/>
        <xdr:cNvSpPr/>
      </xdr:nvSpPr>
      <xdr:spPr>
        <a:xfrm>
          <a:off x="5375910" y="480060"/>
          <a:ext cx="137160" cy="114300"/>
        </a:xfrm>
        <a:prstGeom prst="rect">
          <a:avLst/>
        </a:prstGeom>
        <a:solidFill>
          <a:schemeClr val="accent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4032230" y="257175"/>
          <a:ext cx="2634615" cy="352425"/>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2522220</xdr:colOff>
      <xdr:row>1</xdr:row>
      <xdr:rowOff>7620</xdr:rowOff>
    </xdr:from>
    <xdr:to>
      <xdr:col>18</xdr:col>
      <xdr:colOff>914400</xdr:colOff>
      <xdr:row>3</xdr:row>
      <xdr:rowOff>45720</xdr:rowOff>
    </xdr:to>
    <xdr:sp macro="" textlink="">
      <xdr:nvSpPr>
        <xdr:cNvPr id="3" name="TextBox 2"/>
        <xdr:cNvSpPr txBox="1"/>
      </xdr:nvSpPr>
      <xdr:spPr>
        <a:xfrm>
          <a:off x="9898380" y="114300"/>
          <a:ext cx="3238500" cy="69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26</xdr:row>
      <xdr:rowOff>147636</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4</xdr:row>
      <xdr:rowOff>76200</xdr:rowOff>
    </xdr:from>
    <xdr:to>
      <xdr:col>19</xdr:col>
      <xdr:colOff>35983</xdr:colOff>
      <xdr:row>54</xdr:row>
      <xdr:rowOff>111760</xdr:rowOff>
    </xdr:to>
    <xdr:pic>
      <xdr:nvPicPr>
        <xdr:cNvPr id="4" name="Picture 3"/>
        <xdr:cNvPicPr>
          <a:picLocks noChangeAspect="1"/>
        </xdr:cNvPicPr>
      </xdr:nvPicPr>
      <xdr:blipFill>
        <a:blip xmlns:r="http://schemas.openxmlformats.org/officeDocument/2006/relationships" r:embed="rId2"/>
        <a:stretch>
          <a:fillRect/>
        </a:stretch>
      </xdr:blipFill>
      <xdr:spPr>
        <a:xfrm>
          <a:off x="3914775" y="1152525"/>
          <a:ext cx="6000750" cy="9086850"/>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782647" y="187960"/>
          <a:ext cx="3381163" cy="390495"/>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4</xdr:col>
      <xdr:colOff>468630</xdr:colOff>
      <xdr:row>39</xdr:row>
      <xdr:rowOff>19050</xdr:rowOff>
    </xdr:from>
    <xdr:to>
      <xdr:col>5</xdr:col>
      <xdr:colOff>184332</xdr:colOff>
      <xdr:row>40</xdr:row>
      <xdr:rowOff>100487</xdr:rowOff>
    </xdr:to>
    <xdr:pic>
      <xdr:nvPicPr>
        <xdr:cNvPr id="29" name="Picture 28"/>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2287905" y="7515225"/>
          <a:ext cx="259050" cy="287177"/>
        </a:xfrm>
        <a:prstGeom prst="rect">
          <a:avLst/>
        </a:prstGeom>
      </xdr:spPr>
    </xdr:pic>
    <xdr:clientData/>
  </xdr:twoCellAnchor>
  <xdr:twoCellAnchor editAs="oneCell">
    <xdr:from>
      <xdr:col>2</xdr:col>
      <xdr:colOff>15241</xdr:colOff>
      <xdr:row>39</xdr:row>
      <xdr:rowOff>76201</xdr:rowOff>
    </xdr:from>
    <xdr:to>
      <xdr:col>2</xdr:col>
      <xdr:colOff>544290</xdr:colOff>
      <xdr:row>40</xdr:row>
      <xdr:rowOff>99061</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9524" b="-646"/>
        <a:stretch/>
      </xdr:blipFill>
      <xdr:spPr>
        <a:xfrm>
          <a:off x="281941" y="7572376"/>
          <a:ext cx="529049" cy="228600"/>
        </a:xfrm>
        <a:prstGeom prst="rect">
          <a:avLst/>
        </a:prstGeom>
      </xdr:spPr>
    </xdr:pic>
    <xdr:clientData/>
  </xdr:twoCellAnchor>
  <xdr:twoCellAnchor editAs="oneCell">
    <xdr:from>
      <xdr:col>6</xdr:col>
      <xdr:colOff>316230</xdr:colOff>
      <xdr:row>39</xdr:row>
      <xdr:rowOff>9525</xdr:rowOff>
    </xdr:from>
    <xdr:to>
      <xdr:col>6</xdr:col>
      <xdr:colOff>690651</xdr:colOff>
      <xdr:row>40</xdr:row>
      <xdr:rowOff>99060</xdr:rowOff>
    </xdr:to>
    <xdr:pic>
      <xdr:nvPicPr>
        <xdr:cNvPr id="43" name="Picture 4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40430" y="7505700"/>
          <a:ext cx="374421" cy="295275"/>
        </a:xfrm>
        <a:prstGeom prst="rect">
          <a:avLst/>
        </a:prstGeom>
      </xdr:spPr>
    </xdr:pic>
    <xdr:clientData/>
  </xdr:twoCellAnchor>
  <xdr:twoCellAnchor editAs="oneCell">
    <xdr:from>
      <xdr:col>3</xdr:col>
      <xdr:colOff>590551</xdr:colOff>
      <xdr:row>39</xdr:row>
      <xdr:rowOff>49530</xdr:rowOff>
    </xdr:from>
    <xdr:to>
      <xdr:col>4</xdr:col>
      <xdr:colOff>212090</xdr:colOff>
      <xdr:row>40</xdr:row>
      <xdr:rowOff>98282</xdr:rowOff>
    </xdr:to>
    <xdr:pic>
      <xdr:nvPicPr>
        <xdr:cNvPr id="45" name="Picture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62126" y="7545705"/>
          <a:ext cx="266699" cy="254492"/>
        </a:xfrm>
        <a:prstGeom prst="rect">
          <a:avLst/>
        </a:prstGeom>
      </xdr:spPr>
    </xdr:pic>
    <xdr:clientData/>
  </xdr:twoCellAnchor>
  <xdr:oneCellAnchor>
    <xdr:from>
      <xdr:col>5</xdr:col>
      <xdr:colOff>730605</xdr:colOff>
      <xdr:row>39</xdr:row>
      <xdr:rowOff>9526</xdr:rowOff>
    </xdr:from>
    <xdr:ext cx="271884" cy="304800"/>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92805" y="7505701"/>
          <a:ext cx="271884" cy="304800"/>
        </a:xfrm>
        <a:prstGeom prst="rect">
          <a:avLst/>
        </a:prstGeom>
      </xdr:spPr>
    </xdr:pic>
    <xdr:clientData/>
  </xdr:oneCellAnchor>
  <xdr:twoCellAnchor editAs="oneCell">
    <xdr:from>
      <xdr:col>3</xdr:col>
      <xdr:colOff>3811</xdr:colOff>
      <xdr:row>39</xdr:row>
      <xdr:rowOff>38100</xdr:rowOff>
    </xdr:from>
    <xdr:to>
      <xdr:col>3</xdr:col>
      <xdr:colOff>281747</xdr:colOff>
      <xdr:row>40</xdr:row>
      <xdr:rowOff>130388</xdr:rowOff>
    </xdr:to>
    <xdr:pic>
      <xdr:nvPicPr>
        <xdr:cNvPr id="6" name="Picture 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5386" y="7534275"/>
          <a:ext cx="277936" cy="298028"/>
        </a:xfrm>
        <a:prstGeom prst="rect">
          <a:avLst/>
        </a:prstGeom>
      </xdr:spPr>
    </xdr:pic>
    <xdr:clientData/>
  </xdr:twoCellAnchor>
  <xdr:twoCellAnchor>
    <xdr:from>
      <xdr:col>8</xdr:col>
      <xdr:colOff>233449</xdr:colOff>
      <xdr:row>5</xdr:row>
      <xdr:rowOff>6134</xdr:rowOff>
    </xdr:from>
    <xdr:to>
      <xdr:col>9</xdr:col>
      <xdr:colOff>38099</xdr:colOff>
      <xdr:row>5</xdr:row>
      <xdr:rowOff>69173</xdr:rowOff>
    </xdr:to>
    <xdr:sp macro="" textlink="">
      <xdr:nvSpPr>
        <xdr:cNvPr id="47" name="Oval 46"/>
        <xdr:cNvSpPr/>
      </xdr:nvSpPr>
      <xdr:spPr>
        <a:xfrm>
          <a:off x="5615940" y="1242652"/>
          <a:ext cx="64423" cy="6303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46</xdr:row>
      <xdr:rowOff>148166</xdr:rowOff>
    </xdr:from>
    <xdr:to>
      <xdr:col>12</xdr:col>
      <xdr:colOff>476250</xdr:colOff>
      <xdr:row>48</xdr:row>
      <xdr:rowOff>114300</xdr:rowOff>
    </xdr:to>
    <xdr:sp macro="" textlink="">
      <xdr:nvSpPr>
        <xdr:cNvPr id="50" name="Oval 49"/>
        <xdr:cNvSpPr/>
      </xdr:nvSpPr>
      <xdr:spPr>
        <a:xfrm>
          <a:off x="6553200" y="8920691"/>
          <a:ext cx="285750" cy="289984"/>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235048</xdr:colOff>
      <xdr:row>5</xdr:row>
      <xdr:rowOff>6</xdr:rowOff>
    </xdr:from>
    <xdr:to>
      <xdr:col>9</xdr:col>
      <xdr:colOff>88220</xdr:colOff>
      <xdr:row>5</xdr:row>
      <xdr:rowOff>106515</xdr:rowOff>
    </xdr:to>
    <xdr:sp macro="" textlink="">
      <xdr:nvSpPr>
        <xdr:cNvPr id="51" name="Oval 50"/>
        <xdr:cNvSpPr/>
      </xdr:nvSpPr>
      <xdr:spPr>
        <a:xfrm>
          <a:off x="5615940" y="1242652"/>
          <a:ext cx="111080" cy="10650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63444</xdr:colOff>
      <xdr:row>50</xdr:row>
      <xdr:rowOff>66675</xdr:rowOff>
    </xdr:from>
    <xdr:to>
      <xdr:col>13</xdr:col>
      <xdr:colOff>228036</xdr:colOff>
      <xdr:row>51</xdr:row>
      <xdr:rowOff>69342</xdr:rowOff>
    </xdr:to>
    <xdr:sp macro="" textlink="">
      <xdr:nvSpPr>
        <xdr:cNvPr id="52" name="Oval 51"/>
        <xdr:cNvSpPr/>
      </xdr:nvSpPr>
      <xdr:spPr>
        <a:xfrm>
          <a:off x="6921444" y="9486900"/>
          <a:ext cx="164592" cy="16459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813721</xdr:colOff>
      <xdr:row>28</xdr:row>
      <xdr:rowOff>76199</xdr:rowOff>
    </xdr:from>
    <xdr:to>
      <xdr:col>11</xdr:col>
      <xdr:colOff>941737</xdr:colOff>
      <xdr:row>29</xdr:row>
      <xdr:rowOff>42290</xdr:rowOff>
    </xdr:to>
    <xdr:sp macro="" textlink="">
      <xdr:nvSpPr>
        <xdr:cNvPr id="53" name="Oval 52"/>
        <xdr:cNvSpPr/>
      </xdr:nvSpPr>
      <xdr:spPr>
        <a:xfrm>
          <a:off x="6185821" y="5562599"/>
          <a:ext cx="128016" cy="12801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606809</xdr:colOff>
      <xdr:row>38</xdr:row>
      <xdr:rowOff>50799</xdr:rowOff>
    </xdr:from>
    <xdr:to>
      <xdr:col>14</xdr:col>
      <xdr:colOff>159896</xdr:colOff>
      <xdr:row>39</xdr:row>
      <xdr:rowOff>61086</xdr:rowOff>
    </xdr:to>
    <xdr:sp macro="" textlink="">
      <xdr:nvSpPr>
        <xdr:cNvPr id="54" name="Oval 53"/>
        <xdr:cNvSpPr/>
      </xdr:nvSpPr>
      <xdr:spPr>
        <a:xfrm>
          <a:off x="7464809" y="7346949"/>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4</xdr:row>
      <xdr:rowOff>57150</xdr:rowOff>
    </xdr:from>
    <xdr:to>
      <xdr:col>6</xdr:col>
      <xdr:colOff>742950</xdr:colOff>
      <xdr:row>26</xdr:row>
      <xdr:rowOff>66675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47624</xdr:colOff>
      <xdr:row>56</xdr:row>
      <xdr:rowOff>19050</xdr:rowOff>
    </xdr:from>
    <xdr:to>
      <xdr:col>9</xdr:col>
      <xdr:colOff>66674</xdr:colOff>
      <xdr:row>57</xdr:row>
      <xdr:rowOff>0</xdr:rowOff>
    </xdr:to>
    <xdr:sp macro="" textlink="">
      <xdr:nvSpPr>
        <xdr:cNvPr id="39" name="TextBox 38"/>
        <xdr:cNvSpPr txBox="1"/>
      </xdr:nvSpPr>
      <xdr:spPr>
        <a:xfrm>
          <a:off x="209549" y="10306050"/>
          <a:ext cx="46958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NFI cluster partners, UNHCR, other humanitarian organizations &amp; MIMU.</a:t>
          </a:r>
          <a:endParaRPr lang="en-GB" sz="1000">
            <a:latin typeface="Franklin Gothic Book" pitchFamily="34" charset="0"/>
          </a:endParaRPr>
        </a:p>
      </xdr:txBody>
    </xdr:sp>
    <xdr:clientData/>
  </xdr:twoCellAnchor>
  <xdr:twoCellAnchor>
    <xdr:from>
      <xdr:col>9</xdr:col>
      <xdr:colOff>114300</xdr:colOff>
      <xdr:row>56</xdr:row>
      <xdr:rowOff>0</xdr:rowOff>
    </xdr:from>
    <xdr:to>
      <xdr:col>15</xdr:col>
      <xdr:colOff>208693</xdr:colOff>
      <xdr:row>56</xdr:row>
      <xdr:rowOff>171450</xdr:rowOff>
    </xdr:to>
    <xdr:sp macro="" textlink="">
      <xdr:nvSpPr>
        <xdr:cNvPr id="40" name="TextBox 39"/>
        <xdr:cNvSpPr txBox="1">
          <a:spLocks/>
        </xdr:cNvSpPr>
      </xdr:nvSpPr>
      <xdr:spPr>
        <a:xfrm>
          <a:off x="5562600" y="10248900"/>
          <a:ext cx="3380518"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9</xdr:col>
      <xdr:colOff>266700</xdr:colOff>
      <xdr:row>56</xdr:row>
      <xdr:rowOff>161925</xdr:rowOff>
    </xdr:from>
    <xdr:to>
      <xdr:col>15</xdr:col>
      <xdr:colOff>84604</xdr:colOff>
      <xdr:row>57</xdr:row>
      <xdr:rowOff>76200</xdr:rowOff>
    </xdr:to>
    <xdr:sp macro="" textlink="">
      <xdr:nvSpPr>
        <xdr:cNvPr id="41" name="TextBox 40"/>
        <xdr:cNvSpPr txBox="1">
          <a:spLocks/>
        </xdr:cNvSpPr>
      </xdr:nvSpPr>
      <xdr:spPr>
        <a:xfrm>
          <a:off x="5105400" y="10429875"/>
          <a:ext cx="310402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15</xdr:col>
      <xdr:colOff>168688</xdr:colOff>
      <xdr:row>56</xdr:row>
      <xdr:rowOff>103399</xdr:rowOff>
    </xdr:from>
    <xdr:to>
      <xdr:col>18</xdr:col>
      <xdr:colOff>224228</xdr:colOff>
      <xdr:row>91</xdr:row>
      <xdr:rowOff>28575</xdr:rowOff>
    </xdr:to>
    <xdr:sp macro="" textlink="">
      <xdr:nvSpPr>
        <xdr:cNvPr id="44" name="TextBox 43"/>
        <xdr:cNvSpPr txBox="1"/>
      </xdr:nvSpPr>
      <xdr:spPr>
        <a:xfrm>
          <a:off x="8293513" y="10371349"/>
          <a:ext cx="1427140" cy="268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15</xdr:col>
      <xdr:colOff>161925</xdr:colOff>
      <xdr:row>56</xdr:row>
      <xdr:rowOff>0</xdr:rowOff>
    </xdr:from>
    <xdr:to>
      <xdr:col>18</xdr:col>
      <xdr:colOff>21414</xdr:colOff>
      <xdr:row>56</xdr:row>
      <xdr:rowOff>209550</xdr:rowOff>
    </xdr:to>
    <xdr:sp macro="" textlink="">
      <xdr:nvSpPr>
        <xdr:cNvPr id="48" name="TextBox 47"/>
        <xdr:cNvSpPr txBox="1"/>
      </xdr:nvSpPr>
      <xdr:spPr>
        <a:xfrm>
          <a:off x="8896350" y="10210800"/>
          <a:ext cx="123108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editAs="oneCell">
    <xdr:from>
      <xdr:col>1</xdr:col>
      <xdr:colOff>85725</xdr:colOff>
      <xdr:row>41</xdr:row>
      <xdr:rowOff>9524</xdr:rowOff>
    </xdr:from>
    <xdr:to>
      <xdr:col>6</xdr:col>
      <xdr:colOff>706967</xdr:colOff>
      <xdr:row>54</xdr:row>
      <xdr:rowOff>133349</xdr:rowOff>
    </xdr:to>
    <xdr:pic>
      <xdr:nvPicPr>
        <xdr:cNvPr id="7" name="Picture 6"/>
        <xdr:cNvPicPr>
          <a:picLocks noChangeAspect="1"/>
        </xdr:cNvPicPr>
      </xdr:nvPicPr>
      <xdr:blipFill>
        <a:blip xmlns:r="http://schemas.openxmlformats.org/officeDocument/2006/relationships" r:embed="rId14"/>
        <a:stretch>
          <a:fillRect/>
        </a:stretch>
      </xdr:blipFill>
      <xdr:spPr>
        <a:xfrm>
          <a:off x="247650" y="7886699"/>
          <a:ext cx="3600450" cy="2314575"/>
        </a:xfrm>
        <a:prstGeom prst="rect">
          <a:avLst/>
        </a:prstGeom>
      </xdr:spPr>
    </xdr:pic>
    <xdr:clientData/>
  </xdr:twoCellAnchor>
  <xdr:twoCellAnchor>
    <xdr:from>
      <xdr:col>4</xdr:col>
      <xdr:colOff>54424</xdr:colOff>
      <xdr:row>47</xdr:row>
      <xdr:rowOff>51596</xdr:rowOff>
    </xdr:from>
    <xdr:to>
      <xdr:col>4</xdr:col>
      <xdr:colOff>145864</xdr:colOff>
      <xdr:row>47</xdr:row>
      <xdr:rowOff>143036</xdr:rowOff>
    </xdr:to>
    <xdr:sp macro="" textlink="">
      <xdr:nvSpPr>
        <xdr:cNvPr id="37" name="Oval 36"/>
        <xdr:cNvSpPr/>
      </xdr:nvSpPr>
      <xdr:spPr>
        <a:xfrm>
          <a:off x="1873699" y="8986046"/>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95250</xdr:colOff>
      <xdr:row>46</xdr:row>
      <xdr:rowOff>28573</xdr:rowOff>
    </xdr:from>
    <xdr:to>
      <xdr:col>3</xdr:col>
      <xdr:colOff>305562</xdr:colOff>
      <xdr:row>47</xdr:row>
      <xdr:rowOff>76960</xdr:rowOff>
    </xdr:to>
    <xdr:sp macro="" textlink="">
      <xdr:nvSpPr>
        <xdr:cNvPr id="49" name="Oval 48"/>
        <xdr:cNvSpPr/>
      </xdr:nvSpPr>
      <xdr:spPr>
        <a:xfrm>
          <a:off x="1266825" y="8801098"/>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600075</xdr:colOff>
      <xdr:row>45</xdr:row>
      <xdr:rowOff>66673</xdr:rowOff>
    </xdr:from>
    <xdr:to>
      <xdr:col>4</xdr:col>
      <xdr:colOff>162687</xdr:colOff>
      <xdr:row>46</xdr:row>
      <xdr:rowOff>115060</xdr:rowOff>
    </xdr:to>
    <xdr:sp macro="" textlink="">
      <xdr:nvSpPr>
        <xdr:cNvPr id="58" name="Oval 57"/>
        <xdr:cNvSpPr/>
      </xdr:nvSpPr>
      <xdr:spPr>
        <a:xfrm>
          <a:off x="1771650" y="8677273"/>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57150</xdr:colOff>
      <xdr:row>4</xdr:row>
      <xdr:rowOff>161925</xdr:rowOff>
    </xdr:from>
    <xdr:ext cx="3286125" cy="624658"/>
    <xdr:sp macro="" textlink="">
      <xdr:nvSpPr>
        <xdr:cNvPr id="3" name="TextBox 2"/>
        <xdr:cNvSpPr txBox="1"/>
      </xdr:nvSpPr>
      <xdr:spPr>
        <a:xfrm>
          <a:off x="5458883" y="1237192"/>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847725</xdr:colOff>
      <xdr:row>10</xdr:row>
      <xdr:rowOff>66675</xdr:rowOff>
    </xdr:to>
    <xdr:pic>
      <xdr:nvPicPr>
        <xdr:cNvPr id="55" name="Picture 5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217804</xdr:colOff>
      <xdr:row>13</xdr:row>
      <xdr:rowOff>144774</xdr:rowOff>
    </xdr:to>
    <xdr:pic>
      <xdr:nvPicPr>
        <xdr:cNvPr id="56" name="Picture 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635211</xdr:colOff>
      <xdr:row>11</xdr:row>
      <xdr:rowOff>11424</xdr:rowOff>
    </xdr:to>
    <xdr:pic>
      <xdr:nvPicPr>
        <xdr:cNvPr id="57" name="Picture 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xdr:colOff>
      <xdr:row>4</xdr:row>
      <xdr:rowOff>342899</xdr:rowOff>
    </xdr:from>
    <xdr:to>
      <xdr:col>11</xdr:col>
      <xdr:colOff>866775</xdr:colOff>
      <xdr:row>19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7</xdr:col>
      <xdr:colOff>285750</xdr:colOff>
      <xdr:row>7</xdr:row>
      <xdr:rowOff>28575</xdr:rowOff>
    </xdr:from>
    <xdr:to>
      <xdr:col>11</xdr:col>
      <xdr:colOff>425661</xdr:colOff>
      <xdr:row>8</xdr:row>
      <xdr:rowOff>97149</xdr:rowOff>
    </xdr:to>
    <xdr:pic>
      <xdr:nvPicPr>
        <xdr:cNvPr id="59" name="Picture 5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24350" y="1752600"/>
          <a:ext cx="14763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736889" y="365164"/>
          <a:ext cx="5665568" cy="499459"/>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16171"/>
          <a:ext cx="3496836" cy="9673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98675</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165</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10</xdr:col>
      <xdr:colOff>358586</xdr:colOff>
      <xdr:row>50</xdr:row>
      <xdr:rowOff>68954</xdr:rowOff>
    </xdr:from>
    <xdr:to>
      <xdr:col>17</xdr:col>
      <xdr:colOff>246527</xdr:colOff>
      <xdr:row>50</xdr:row>
      <xdr:rowOff>212912</xdr:rowOff>
    </xdr:to>
    <xdr:sp macro="" textlink="">
      <xdr:nvSpPr>
        <xdr:cNvPr id="14" name="TextBox 13"/>
        <xdr:cNvSpPr txBox="1">
          <a:spLocks/>
        </xdr:cNvSpPr>
      </xdr:nvSpPr>
      <xdr:spPr>
        <a:xfrm>
          <a:off x="7115733" y="8619042"/>
          <a:ext cx="3350559" cy="143958"/>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48712</xdr:rowOff>
    </xdr:from>
    <xdr:to>
      <xdr:col>17</xdr:col>
      <xdr:colOff>1669544</xdr:colOff>
      <xdr:row>50</xdr:row>
      <xdr:rowOff>239467</xdr:rowOff>
    </xdr:to>
    <xdr:sp macro="" textlink="">
      <xdr:nvSpPr>
        <xdr:cNvPr id="15" name="TextBox 14"/>
        <xdr:cNvSpPr txBox="1"/>
      </xdr:nvSpPr>
      <xdr:spPr>
        <a:xfrm>
          <a:off x="10643704" y="8611687"/>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882407" y="177800"/>
          <a:ext cx="4399157" cy="55431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11207</xdr:rowOff>
    </xdr:from>
    <xdr:to>
      <xdr:col>18</xdr:col>
      <xdr:colOff>20543</xdr:colOff>
      <xdr:row>49</xdr:row>
      <xdr:rowOff>22411</xdr:rowOff>
    </xdr:to>
    <xdr:sp macro="" textlink="">
      <xdr:nvSpPr>
        <xdr:cNvPr id="19" name="Rounded Rectangle 18"/>
        <xdr:cNvSpPr/>
      </xdr:nvSpPr>
      <xdr:spPr>
        <a:xfrm>
          <a:off x="7653618" y="6925236"/>
          <a:ext cx="4458072" cy="15912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13</xdr:col>
      <xdr:colOff>62572</xdr:colOff>
      <xdr:row>21</xdr:row>
      <xdr:rowOff>56029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22411</xdr:colOff>
      <xdr:row>50</xdr:row>
      <xdr:rowOff>212913</xdr:rowOff>
    </xdr:from>
    <xdr:to>
      <xdr:col>17</xdr:col>
      <xdr:colOff>179292</xdr:colOff>
      <xdr:row>50</xdr:row>
      <xdr:rowOff>414618</xdr:rowOff>
    </xdr:to>
    <xdr:sp macro="" textlink="">
      <xdr:nvSpPr>
        <xdr:cNvPr id="34" name="TextBox 33"/>
        <xdr:cNvSpPr txBox="1">
          <a:spLocks/>
        </xdr:cNvSpPr>
      </xdr:nvSpPr>
      <xdr:spPr>
        <a:xfrm>
          <a:off x="7407087" y="8751795"/>
          <a:ext cx="3104029" cy="201705"/>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17</xdr:col>
      <xdr:colOff>246530</xdr:colOff>
      <xdr:row>50</xdr:row>
      <xdr:rowOff>168090</xdr:rowOff>
    </xdr:from>
    <xdr:to>
      <xdr:col>17</xdr:col>
      <xdr:colOff>1673670</xdr:colOff>
      <xdr:row>51</xdr:row>
      <xdr:rowOff>11462</xdr:rowOff>
    </xdr:to>
    <xdr:sp macro="" textlink="">
      <xdr:nvSpPr>
        <xdr:cNvPr id="35" name="TextBox 34"/>
        <xdr:cNvSpPr txBox="1"/>
      </xdr:nvSpPr>
      <xdr:spPr>
        <a:xfrm>
          <a:off x="10578354" y="8706972"/>
          <a:ext cx="1427140" cy="26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5</xdr:col>
      <xdr:colOff>67235</xdr:colOff>
      <xdr:row>19</xdr:row>
      <xdr:rowOff>123266</xdr:rowOff>
    </xdr:from>
    <xdr:to>
      <xdr:col>13</xdr:col>
      <xdr:colOff>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98,675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165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8,306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566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12,961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534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24,769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7,536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650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24,492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1162051</xdr:colOff>
      <xdr:row>1</xdr:row>
      <xdr:rowOff>261658</xdr:rowOff>
    </xdr:from>
    <xdr:to>
      <xdr:col>10</xdr:col>
      <xdr:colOff>358587</xdr:colOff>
      <xdr:row>3</xdr:row>
      <xdr:rowOff>152400</xdr:rowOff>
    </xdr:to>
    <xdr:grpSp>
      <xdr:nvGrpSpPr>
        <xdr:cNvPr id="2" name="Group 1"/>
        <xdr:cNvGrpSpPr/>
      </xdr:nvGrpSpPr>
      <xdr:grpSpPr>
        <a:xfrm>
          <a:off x="6140451" y="401358"/>
          <a:ext cx="4949636" cy="53844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6498416" y="134471"/>
          <a:ext cx="4414596"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xdr:colOff>
      <xdr:row>6</xdr:row>
      <xdr:rowOff>104774</xdr:rowOff>
    </xdr:from>
    <xdr:to>
      <xdr:col>13</xdr:col>
      <xdr:colOff>1024309</xdr:colOff>
      <xdr:row>40</xdr:row>
      <xdr:rowOff>9736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91050" y="1362074"/>
          <a:ext cx="4720009" cy="5514976"/>
        </a:xfrm>
        <a:prstGeom prst="rect">
          <a:avLst/>
        </a:prstGeom>
        <a:ln w="28575">
          <a:solidFill>
            <a:schemeClr val="tx1"/>
          </a:solidFill>
        </a:ln>
      </xdr:spPr>
    </xdr:pic>
    <xdr:clientData/>
  </xdr:twoCellAnchor>
  <xdr:oneCellAnchor>
    <xdr:from>
      <xdr:col>8</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615315</xdr:colOff>
      <xdr:row>1</xdr:row>
      <xdr:rowOff>57419</xdr:rowOff>
    </xdr:from>
    <xdr:to>
      <xdr:col>13</xdr:col>
      <xdr:colOff>981075</xdr:colOff>
      <xdr:row>2</xdr:row>
      <xdr:rowOff>142875</xdr:rowOff>
    </xdr:to>
    <xdr:grpSp>
      <xdr:nvGrpSpPr>
        <xdr:cNvPr id="35" name="Group 34"/>
        <xdr:cNvGrpSpPr/>
      </xdr:nvGrpSpPr>
      <xdr:grpSpPr>
        <a:xfrm>
          <a:off x="6551988" y="216746"/>
          <a:ext cx="3081251" cy="362547"/>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86361</xdr:colOff>
      <xdr:row>3</xdr:row>
      <xdr:rowOff>0</xdr:rowOff>
    </xdr:from>
    <xdr:to>
      <xdr:col>13</xdr:col>
      <xdr:colOff>1066800</xdr:colOff>
      <xdr:row>6</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18% of the shelter needs reported in Kachin and Northern Shan States. </a:t>
          </a:r>
        </a:p>
      </xdr:txBody>
    </xdr:sp>
    <xdr:clientData/>
  </xdr:twoCellAnchor>
  <xdr:twoCellAnchor>
    <xdr:from>
      <xdr:col>8</xdr:col>
      <xdr:colOff>136112</xdr:colOff>
      <xdr:row>41</xdr:row>
      <xdr:rowOff>71735</xdr:rowOff>
    </xdr:from>
    <xdr:to>
      <xdr:col>12</xdr:col>
      <xdr:colOff>192405</xdr:colOff>
      <xdr:row>43</xdr:row>
      <xdr:rowOff>28575</xdr:rowOff>
    </xdr:to>
    <xdr:sp macro="" textlink="">
      <xdr:nvSpPr>
        <xdr:cNvPr id="49" name="TextBox 48"/>
        <xdr:cNvSpPr txBox="1">
          <a:spLocks/>
        </xdr:cNvSpPr>
      </xdr:nvSpPr>
      <xdr:spPr>
        <a:xfrm>
          <a:off x="4708112" y="6891635"/>
          <a:ext cx="3380518" cy="337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142875</xdr:colOff>
      <xdr:row>42</xdr:row>
      <xdr:rowOff>3684</xdr:rowOff>
    </xdr:from>
    <xdr:to>
      <xdr:col>13</xdr:col>
      <xdr:colOff>983439</xdr:colOff>
      <xdr:row>42</xdr:row>
      <xdr:rowOff>164453</xdr:rowOff>
    </xdr:to>
    <xdr:sp macro="" textlink="">
      <xdr:nvSpPr>
        <xdr:cNvPr id="50" name="TextBox 49"/>
        <xdr:cNvSpPr txBox="1"/>
      </xdr:nvSpPr>
      <xdr:spPr>
        <a:xfrm>
          <a:off x="8039100" y="7042659"/>
          <a:ext cx="1231089" cy="160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0</xdr:col>
      <xdr:colOff>125246</xdr:colOff>
      <xdr:row>3</xdr:row>
      <xdr:rowOff>54777</xdr:rowOff>
    </xdr:from>
    <xdr:to>
      <xdr:col>7</xdr:col>
      <xdr:colOff>563878</xdr:colOff>
      <xdr:row>6</xdr:row>
      <xdr:rowOff>25366</xdr:rowOff>
    </xdr:to>
    <xdr:grpSp>
      <xdr:nvGrpSpPr>
        <xdr:cNvPr id="4" name="Group 3"/>
        <xdr:cNvGrpSpPr/>
      </xdr:nvGrpSpPr>
      <xdr:grpSpPr>
        <a:xfrm>
          <a:off x="125246" y="685159"/>
          <a:ext cx="4428741" cy="614825"/>
          <a:chOff x="13463940" y="3170464"/>
          <a:chExt cx="5315189" cy="660185"/>
        </a:xfrm>
      </xdr:grpSpPr>
      <xdr:grpSp>
        <xdr:nvGrpSpPr>
          <xdr:cNvPr id="3" name="Group 2"/>
          <xdr:cNvGrpSpPr/>
        </xdr:nvGrpSpPr>
        <xdr:grpSpPr>
          <a:xfrm>
            <a:off x="13463940" y="3170466"/>
            <a:ext cx="4329886" cy="658491"/>
            <a:chOff x="13298894" y="3238499"/>
            <a:chExt cx="4329887" cy="658489"/>
          </a:xfrm>
        </xdr:grpSpPr>
        <xdr:sp macro="" textlink="">
          <xdr:nvSpPr>
            <xdr:cNvPr id="54" name="Rectangle 53"/>
            <xdr:cNvSpPr/>
          </xdr:nvSpPr>
          <xdr:spPr>
            <a:xfrm>
              <a:off x="13299490" y="3238499"/>
              <a:ext cx="4207024" cy="20648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IDP</a:t>
              </a:r>
              <a:r>
                <a:rPr lang="en-GB" sz="1100" b="1" baseline="0">
                  <a:solidFill>
                    <a:schemeClr val="dk1"/>
                  </a:solidFill>
                  <a:latin typeface="+mn-lt"/>
                  <a:ea typeface="+mn-ea"/>
                  <a:cs typeface="+mn-cs"/>
                </a:rPr>
                <a:t> locations (shelter interventions)</a:t>
              </a:r>
              <a:endParaRPr lang="en-GB" sz="1100" b="1">
                <a:solidFill>
                  <a:schemeClr val="dk1"/>
                </a:solidFill>
                <a:latin typeface="+mn-lt"/>
                <a:ea typeface="+mn-ea"/>
                <a:cs typeface="+mn-cs"/>
              </a:endParaRPr>
            </a:p>
          </xdr:txBody>
        </xdr:sp>
        <xdr:sp macro="" textlink="">
          <xdr:nvSpPr>
            <xdr:cNvPr id="63" name="Rectangle 62"/>
            <xdr:cNvSpPr/>
          </xdr:nvSpPr>
          <xdr:spPr>
            <a:xfrm>
              <a:off x="13298894" y="3455546"/>
              <a:ext cx="4320001" cy="229452"/>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100" b="1">
                  <a:solidFill>
                    <a:schemeClr val="dk1"/>
                  </a:solidFill>
                  <a:latin typeface="+mn-lt"/>
                  <a:ea typeface="+mn-ea"/>
                  <a:cs typeface="+mn-cs"/>
                </a:rPr>
                <a:t>#</a:t>
              </a:r>
              <a:r>
                <a:rPr lang="en-GB" sz="1100" b="1" baseline="0">
                  <a:solidFill>
                    <a:schemeClr val="dk1"/>
                  </a:solidFill>
                  <a:latin typeface="+mn-lt"/>
                  <a:ea typeface="+mn-ea"/>
                  <a:cs typeface="+mn-cs"/>
                </a:rPr>
                <a:t> Shelters planned</a:t>
              </a:r>
              <a:endParaRPr lang="en-GB" sz="1100" b="1">
                <a:solidFill>
                  <a:schemeClr val="dk1"/>
                </a:solidFill>
                <a:latin typeface="+mn-lt"/>
                <a:ea typeface="+mn-ea"/>
                <a:cs typeface="+mn-cs"/>
              </a:endParaRPr>
            </a:p>
          </xdr:txBody>
        </xdr:sp>
        <xdr:sp macro="" textlink="">
          <xdr:nvSpPr>
            <xdr:cNvPr id="64" name="Rectangle 63"/>
            <xdr:cNvSpPr/>
          </xdr:nvSpPr>
          <xdr:spPr>
            <a:xfrm>
              <a:off x="13308781" y="3695043"/>
              <a:ext cx="4320000" cy="20194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HHs</a:t>
              </a:r>
              <a:r>
                <a:rPr lang="en-GB" sz="1100" b="1" baseline="0">
                  <a:solidFill>
                    <a:schemeClr val="dk1"/>
                  </a:solidFill>
                  <a:latin typeface="+mn-lt"/>
                  <a:ea typeface="+mn-ea"/>
                  <a:cs typeface="+mn-cs"/>
                </a:rPr>
                <a:t> still in need of shelter intervention</a:t>
              </a:r>
              <a:endParaRPr lang="en-GB" sz="1100" b="1">
                <a:solidFill>
                  <a:schemeClr val="dk1"/>
                </a:solidFill>
                <a:latin typeface="+mn-lt"/>
                <a:ea typeface="+mn-ea"/>
                <a:cs typeface="+mn-cs"/>
              </a:endParaRPr>
            </a:p>
          </xdr:txBody>
        </xdr:sp>
      </xdr:grpSp>
      <xdr:grpSp>
        <xdr:nvGrpSpPr>
          <xdr:cNvPr id="65" name="Group 64"/>
          <xdr:cNvGrpSpPr/>
        </xdr:nvGrpSpPr>
        <xdr:grpSpPr>
          <a:xfrm>
            <a:off x="17681611" y="3170464"/>
            <a:ext cx="1097518" cy="660185"/>
            <a:chOff x="13196565" y="3238499"/>
            <a:chExt cx="1097518" cy="660185"/>
          </a:xfrm>
        </xdr:grpSpPr>
        <xdr:sp macro="" textlink="">
          <xdr:nvSpPr>
            <xdr:cNvPr id="66" name="Rectangle 65"/>
            <xdr:cNvSpPr/>
          </xdr:nvSpPr>
          <xdr:spPr>
            <a:xfrm>
              <a:off x="13197546" y="3238499"/>
              <a:ext cx="1096537" cy="20648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r>
                <a:rPr lang="en-US" sz="1100" b="1">
                  <a:ea typeface="+mn-ea"/>
                  <a:cs typeface="+mn-cs"/>
                </a:rPr>
                <a:t>41</a:t>
              </a:r>
            </a:p>
          </xdr:txBody>
        </xdr:sp>
        <xdr:sp macro="" textlink="">
          <xdr:nvSpPr>
            <xdr:cNvPr id="69" name="Rectangle 68"/>
            <xdr:cNvSpPr/>
          </xdr:nvSpPr>
          <xdr:spPr>
            <a:xfrm>
              <a:off x="13196565" y="3681903"/>
              <a:ext cx="1097514" cy="21678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r>
                <a:rPr lang="en-US" sz="1100" b="1">
                  <a:ea typeface="+mn-ea"/>
                  <a:cs typeface="+mn-cs"/>
                </a:rPr>
                <a:t>4606</a:t>
              </a:r>
            </a:p>
          </xdr:txBody>
        </xdr:sp>
      </xdr:grpSp>
    </xdr:grpSp>
    <xdr:clientData/>
  </xdr:twoCellAnchor>
  <xdr:twoCellAnchor>
    <xdr:from>
      <xdr:col>79</xdr:col>
      <xdr:colOff>3138</xdr:colOff>
      <xdr:row>35</xdr:row>
      <xdr:rowOff>150159</xdr:rowOff>
    </xdr:from>
    <xdr:to>
      <xdr:col>79</xdr:col>
      <xdr:colOff>3138</xdr:colOff>
      <xdr:row>37</xdr:row>
      <xdr:rowOff>0</xdr:rowOff>
    </xdr:to>
    <xdr:grpSp>
      <xdr:nvGrpSpPr>
        <xdr:cNvPr id="73" name="Shelter_Situation_Group"/>
        <xdr:cNvGrpSpPr/>
      </xdr:nvGrpSpPr>
      <xdr:grpSpPr>
        <a:xfrm>
          <a:off x="51389647" y="6260014"/>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78</xdr:col>
      <xdr:colOff>5827</xdr:colOff>
      <xdr:row>36</xdr:row>
      <xdr:rowOff>0</xdr:rowOff>
    </xdr:from>
    <xdr:to>
      <xdr:col>79</xdr:col>
      <xdr:colOff>405</xdr:colOff>
      <xdr:row>37</xdr:row>
      <xdr:rowOff>0</xdr:rowOff>
    </xdr:to>
    <xdr:grpSp>
      <xdr:nvGrpSpPr>
        <xdr:cNvPr id="117" name="Mansi"/>
        <xdr:cNvGrpSpPr/>
      </xdr:nvGrpSpPr>
      <xdr:grpSpPr>
        <a:xfrm>
          <a:off x="50360172" y="6262255"/>
          <a:ext cx="1026742"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164</xdr:col>
      <xdr:colOff>158676</xdr:colOff>
      <xdr:row>39</xdr:row>
      <xdr:rowOff>0</xdr:rowOff>
    </xdr:from>
    <xdr:to>
      <xdr:col>164</xdr:col>
      <xdr:colOff>158676</xdr:colOff>
      <xdr:row>39</xdr:row>
      <xdr:rowOff>146583</xdr:rowOff>
    </xdr:to>
    <xdr:grpSp>
      <xdr:nvGrpSpPr>
        <xdr:cNvPr id="121" name="Hsipaw"/>
        <xdr:cNvGrpSpPr/>
      </xdr:nvGrpSpPr>
      <xdr:grpSpPr>
        <a:xfrm>
          <a:off x="104310221" y="6726382"/>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647700</xdr:colOff>
      <xdr:row>28</xdr:row>
      <xdr:rowOff>7620</xdr:rowOff>
    </xdr:from>
    <xdr:to>
      <xdr:col>10</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464820</xdr:colOff>
      <xdr:row>16</xdr:row>
      <xdr:rowOff>121920</xdr:rowOff>
    </xdr:from>
    <xdr:to>
      <xdr:col>13</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899160</xdr:colOff>
      <xdr:row>16</xdr:row>
      <xdr:rowOff>30480</xdr:rowOff>
    </xdr:from>
    <xdr:to>
      <xdr:col>9</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434340</xdr:colOff>
      <xdr:row>34</xdr:row>
      <xdr:rowOff>38100</xdr:rowOff>
    </xdr:from>
    <xdr:to>
      <xdr:col>13</xdr:col>
      <xdr:colOff>7620</xdr:colOff>
      <xdr:row>39</xdr:row>
      <xdr:rowOff>198120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1005840</xdr:colOff>
      <xdr:row>30</xdr:row>
      <xdr:rowOff>129540</xdr:rowOff>
    </xdr:from>
    <xdr:to>
      <xdr:col>10</xdr:col>
      <xdr:colOff>480060</xdr:colOff>
      <xdr:row>35</xdr:row>
      <xdr:rowOff>38100</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731520</xdr:colOff>
      <xdr:row>35</xdr:row>
      <xdr:rowOff>45720</xdr:rowOff>
    </xdr:from>
    <xdr:to>
      <xdr:col>10</xdr:col>
      <xdr:colOff>205740</xdr:colOff>
      <xdr:row>39</xdr:row>
      <xdr:rowOff>510540</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320040</xdr:colOff>
      <xdr:row>19</xdr:row>
      <xdr:rowOff>38100</xdr:rowOff>
    </xdr:from>
    <xdr:to>
      <xdr:col>9</xdr:col>
      <xdr:colOff>891540</xdr:colOff>
      <xdr:row>23</xdr:row>
      <xdr:rowOff>106680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685800</xdr:colOff>
      <xdr:row>22</xdr:row>
      <xdr:rowOff>7620</xdr:rowOff>
    </xdr:from>
    <xdr:to>
      <xdr:col>9</xdr:col>
      <xdr:colOff>160020</xdr:colOff>
      <xdr:row>26</xdr:row>
      <xdr:rowOff>76200</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1074420</xdr:colOff>
      <xdr:row>24</xdr:row>
      <xdr:rowOff>45720</xdr:rowOff>
    </xdr:from>
    <xdr:to>
      <xdr:col>10</xdr:col>
      <xdr:colOff>548640</xdr:colOff>
      <xdr:row>30</xdr:row>
      <xdr:rowOff>7620</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434340</xdr:colOff>
      <xdr:row>30</xdr:row>
      <xdr:rowOff>106680</xdr:rowOff>
    </xdr:from>
    <xdr:to>
      <xdr:col>13</xdr:col>
      <xdr:colOff>7620</xdr:colOff>
      <xdr:row>35</xdr:row>
      <xdr:rowOff>15240</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952500</xdr:colOff>
      <xdr:row>18</xdr:row>
      <xdr:rowOff>22860</xdr:rowOff>
    </xdr:from>
    <xdr:to>
      <xdr:col>10</xdr:col>
      <xdr:colOff>426720</xdr:colOff>
      <xdr:row>22</xdr:row>
      <xdr:rowOff>91440</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381000</xdr:colOff>
      <xdr:row>32</xdr:row>
      <xdr:rowOff>22860</xdr:rowOff>
    </xdr:from>
    <xdr:to>
      <xdr:col>11</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60960</xdr:colOff>
      <xdr:row>36</xdr:row>
      <xdr:rowOff>129540</xdr:rowOff>
    </xdr:from>
    <xdr:to>
      <xdr:col>11</xdr:col>
      <xdr:colOff>7620</xdr:colOff>
      <xdr:row>39</xdr:row>
      <xdr:rowOff>472440</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167640</xdr:colOff>
      <xdr:row>26</xdr:row>
      <xdr:rowOff>106680</xdr:rowOff>
    </xdr:from>
    <xdr:to>
      <xdr:col>9</xdr:col>
      <xdr:colOff>739140</xdr:colOff>
      <xdr:row>31</xdr:row>
      <xdr:rowOff>15240</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982980</xdr:colOff>
      <xdr:row>10</xdr:row>
      <xdr:rowOff>53340</xdr:rowOff>
    </xdr:from>
    <xdr:to>
      <xdr:col>10</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327660</xdr:colOff>
      <xdr:row>19</xdr:row>
      <xdr:rowOff>0</xdr:rowOff>
    </xdr:from>
    <xdr:to>
      <xdr:col>11</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365760</xdr:colOff>
      <xdr:row>27</xdr:row>
      <xdr:rowOff>114300</xdr:rowOff>
    </xdr:from>
    <xdr:to>
      <xdr:col>13</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gap</a:t>
          </a:r>
          <a:endParaRPr lang="en-US" sz="1400"/>
        </a:p>
      </xdr:txBody>
    </xdr:sp>
    <xdr:clientData/>
  </xdr:twoCellAnchor>
  <xdr:twoCellAnchor>
    <xdr:from>
      <xdr:col>11</xdr:col>
      <xdr:colOff>518160</xdr:colOff>
      <xdr:row>28</xdr:row>
      <xdr:rowOff>60960</xdr:rowOff>
    </xdr:from>
    <xdr:to>
      <xdr:col>12</xdr:col>
      <xdr:colOff>22860</xdr:colOff>
      <xdr:row>29</xdr:row>
      <xdr:rowOff>0</xdr:rowOff>
    </xdr:to>
    <xdr:sp macro="" textlink="">
      <xdr:nvSpPr>
        <xdr:cNvPr id="6" name="Rectangle 5"/>
        <xdr:cNvSpPr/>
      </xdr:nvSpPr>
      <xdr:spPr>
        <a:xfrm>
          <a:off x="7574280" y="5013960"/>
          <a:ext cx="99060" cy="990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518160</xdr:colOff>
      <xdr:row>30</xdr:row>
      <xdr:rowOff>0</xdr:rowOff>
    </xdr:from>
    <xdr:to>
      <xdr:col>12</xdr:col>
      <xdr:colOff>22860</xdr:colOff>
      <xdr:row>30</xdr:row>
      <xdr:rowOff>53340</xdr:rowOff>
    </xdr:to>
    <xdr:sp macro="" textlink="">
      <xdr:nvSpPr>
        <xdr:cNvPr id="149" name="Rectangle 148"/>
        <xdr:cNvSpPr/>
      </xdr:nvSpPr>
      <xdr:spPr>
        <a:xfrm>
          <a:off x="7574280" y="5227320"/>
          <a:ext cx="99060" cy="9906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42</xdr:row>
      <xdr:rowOff>76201</xdr:rowOff>
    </xdr:from>
    <xdr:to>
      <xdr:col>8</xdr:col>
      <xdr:colOff>285750</xdr:colOff>
      <xdr:row>42</xdr:row>
      <xdr:rowOff>285751</xdr:rowOff>
    </xdr:to>
    <xdr:sp macro="" textlink="">
      <xdr:nvSpPr>
        <xdr:cNvPr id="70" name="TextBox 69"/>
        <xdr:cNvSpPr txBox="1"/>
      </xdr:nvSpPr>
      <xdr:spPr>
        <a:xfrm>
          <a:off x="0" y="6972301"/>
          <a:ext cx="4857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Shelter cluster partners, UNHCR, other humanitarian organizations &amp; MIMU.</a:t>
          </a:r>
          <a:endParaRPr lang="en-GB" sz="1000">
            <a:latin typeface="Franklin Gothic Book" pitchFamily="34" charset="0"/>
          </a:endParaRPr>
        </a:p>
      </xdr:txBody>
    </xdr:sp>
    <xdr:clientData/>
  </xdr:twoCellAnchor>
  <xdr:twoCellAnchor>
    <xdr:from>
      <xdr:col>8</xdr:col>
      <xdr:colOff>298037</xdr:colOff>
      <xdr:row>42</xdr:row>
      <xdr:rowOff>138410</xdr:rowOff>
    </xdr:from>
    <xdr:to>
      <xdr:col>12</xdr:col>
      <xdr:colOff>77841</xdr:colOff>
      <xdr:row>43</xdr:row>
      <xdr:rowOff>35315</xdr:rowOff>
    </xdr:to>
    <xdr:sp macro="" textlink="">
      <xdr:nvSpPr>
        <xdr:cNvPr id="72" name="TextBox 71"/>
        <xdr:cNvSpPr txBox="1">
          <a:spLocks/>
        </xdr:cNvSpPr>
      </xdr:nvSpPr>
      <xdr:spPr>
        <a:xfrm>
          <a:off x="4870037" y="7024985"/>
          <a:ext cx="3104029" cy="20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12</xdr:col>
      <xdr:colOff>180975</xdr:colOff>
      <xdr:row>42</xdr:row>
      <xdr:rowOff>89409</xdr:rowOff>
    </xdr:from>
    <xdr:to>
      <xdr:col>14</xdr:col>
      <xdr:colOff>0</xdr:colOff>
      <xdr:row>43</xdr:row>
      <xdr:rowOff>53805</xdr:rowOff>
    </xdr:to>
    <xdr:sp macro="" textlink="">
      <xdr:nvSpPr>
        <xdr:cNvPr id="74" name="TextBox 73"/>
        <xdr:cNvSpPr txBox="1"/>
      </xdr:nvSpPr>
      <xdr:spPr>
        <a:xfrm>
          <a:off x="8077200" y="6975984"/>
          <a:ext cx="1427140" cy="26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4</xdr:col>
      <xdr:colOff>190500</xdr:colOff>
      <xdr:row>33</xdr:row>
      <xdr:rowOff>9525</xdr:rowOff>
    </xdr:from>
    <xdr:to>
      <xdr:col>4</xdr:col>
      <xdr:colOff>342900</xdr:colOff>
      <xdr:row>42</xdr:row>
      <xdr:rowOff>0</xdr:rowOff>
    </xdr:to>
    <xdr:sp macro="" textlink="">
      <xdr:nvSpPr>
        <xdr:cNvPr id="20" name="Flowchart: Process 19"/>
        <xdr:cNvSpPr/>
      </xdr:nvSpPr>
      <xdr:spPr>
        <a:xfrm>
          <a:off x="2238375" y="5572125"/>
          <a:ext cx="152400" cy="1323975"/>
        </a:xfrm>
        <a:prstGeom prst="flowChartProcess">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xdr:col>
      <xdr:colOff>795866</xdr:colOff>
      <xdr:row>34</xdr:row>
      <xdr:rowOff>25400</xdr:rowOff>
    </xdr:from>
    <xdr:to>
      <xdr:col>2</xdr:col>
      <xdr:colOff>244966</xdr:colOff>
      <xdr:row>36</xdr:row>
      <xdr:rowOff>19944</xdr:rowOff>
    </xdr:to>
    <xdr:pic>
      <xdr:nvPicPr>
        <xdr:cNvPr id="71" name="Picture 7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2866" y="5985933"/>
          <a:ext cx="261900" cy="299344"/>
        </a:xfrm>
        <a:prstGeom prst="rect">
          <a:avLst/>
        </a:prstGeom>
      </xdr:spPr>
    </xdr:pic>
    <xdr:clientData/>
  </xdr:twoCellAnchor>
  <xdr:twoCellAnchor editAs="oneCell">
    <xdr:from>
      <xdr:col>1</xdr:col>
      <xdr:colOff>643467</xdr:colOff>
      <xdr:row>36</xdr:row>
      <xdr:rowOff>46194</xdr:rowOff>
    </xdr:from>
    <xdr:to>
      <xdr:col>2</xdr:col>
      <xdr:colOff>406400</xdr:colOff>
      <xdr:row>37</xdr:row>
      <xdr:rowOff>5292</xdr:rowOff>
    </xdr:to>
    <xdr:pic>
      <xdr:nvPicPr>
        <xdr:cNvPr id="9" name="Picture 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70467" y="6311527"/>
          <a:ext cx="575733" cy="111498"/>
        </a:xfrm>
        <a:prstGeom prst="rect">
          <a:avLst/>
        </a:prstGeom>
      </xdr:spPr>
    </xdr:pic>
    <xdr:clientData/>
  </xdr:twoCellAnchor>
  <xdr:twoCellAnchor>
    <xdr:from>
      <xdr:col>6</xdr:col>
      <xdr:colOff>336913</xdr:colOff>
      <xdr:row>4</xdr:row>
      <xdr:rowOff>20910</xdr:rowOff>
    </xdr:from>
    <xdr:to>
      <xdr:col>7</xdr:col>
      <xdr:colOff>557519</xdr:colOff>
      <xdr:row>5</xdr:row>
      <xdr:rowOff>15110</xdr:rowOff>
    </xdr:to>
    <xdr:sp macro="" textlink="">
      <xdr:nvSpPr>
        <xdr:cNvPr id="58" name="Rectangle 57"/>
        <xdr:cNvSpPr/>
      </xdr:nvSpPr>
      <xdr:spPr>
        <a:xfrm>
          <a:off x="3634680" y="876043"/>
          <a:ext cx="914872" cy="20163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r>
            <a:rPr lang="en-US" sz="1100" b="1">
              <a:ea typeface="+mn-ea"/>
              <a:cs typeface="+mn-cs"/>
            </a:rPr>
            <a:t>1094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821903</xdr:colOff>
      <xdr:row>1</xdr:row>
      <xdr:rowOff>83820</xdr:rowOff>
    </xdr:from>
    <xdr:to>
      <xdr:col>7</xdr:col>
      <xdr:colOff>1844041</xdr:colOff>
      <xdr:row>2</xdr:row>
      <xdr:rowOff>133350</xdr:rowOff>
    </xdr:to>
    <xdr:grpSp>
      <xdr:nvGrpSpPr>
        <xdr:cNvPr id="10" name="Group 9"/>
        <xdr:cNvGrpSpPr/>
      </xdr:nvGrpSpPr>
      <xdr:grpSpPr>
        <a:xfrm>
          <a:off x="3784178" y="179070"/>
          <a:ext cx="3942503"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Information%20Management\Cluster%20Analysis%20Report\CAR-revised-Aug2017\Shelter-NFI-CCCM%20Kachin%20Northern%20Shan%20Cluster%20Analysis%20Report%201st%20May%20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NSENP/Desktop/Work/SHELTER_NFI_CCCM/CARs/Aug/Cluster%20reporting%20tool_SI%20update_aug1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NSENP/AppData/Local/Microsoft/Windows/Temporary%20Internet%20Files/Content.Outlook/CRFWHNUI/Copy%20of%20NRC%20CCCM%20Team%20-%20Cluster%20reporting%20tool%20(3)%20(0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Define_TCL"/>
      <sheetName val="Shelter Progress"/>
      <sheetName val="Shelter Summary (by Agency)"/>
      <sheetName val="Shelter Coverage Camp"/>
      <sheetName val="Shelter Coverage &amp; Gaps"/>
      <sheetName val="NFI Pipeline"/>
      <sheetName val="NFI Tracking"/>
      <sheetName val="Sheet2"/>
      <sheetName val="NFI Distribution (by Tship)"/>
      <sheetName val="Winter Item"/>
      <sheetName val="NFI Summary"/>
      <sheetName val="File_Details"/>
      <sheetName val="Definition"/>
      <sheetName val="Shelter-NFI-CCCM Kachin Nor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B23">
            <v>42856</v>
          </cell>
        </row>
      </sheetData>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922.61991898148"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546"/>
    </cacheField>
    <cacheField name="Ind" numFmtId="0">
      <sharedItems containsSemiMixedTypes="0" containsString="0" containsNumber="1" containsInteger="1" minValue="0" maxValue="8610"/>
    </cacheField>
    <cacheField name="Winter Clothes Adult " numFmtId="0">
      <sharedItems containsSemiMixedTypes="0" containsString="0" containsNumber="1" containsInteger="1" minValue="0" maxValue="540"/>
    </cacheField>
    <cacheField name="Winter Clothes Children " numFmtId="0">
      <sharedItems containsSemiMixedTypes="0" containsString="0" containsNumber="1" containsInteger="1" minValue="0" maxValue="203"/>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092"/>
    </cacheField>
    <cacheField name="WC_Child_Gap" numFmtId="0">
      <sharedItems containsSemiMixedTypes="0" containsString="0" containsNumber="1" containsInteger="1" minValue="0" maxValue="1546"/>
    </cacheField>
    <cacheField name="WI_Other_Gap" numFmtId="0">
      <sharedItems containsSemiMixedTypes="0" containsString="0" containsNumber="1" containsInteger="1" minValue="0" maxValue="154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3021.665883680558" missingItemsLimit="0" createdVersion="4" refreshedVersion="5" minRefreshableVersion="3" recordCount="286">
  <cacheSource type="worksheet">
    <worksheetSource name="AllData_CampList"/>
  </cacheSource>
  <cacheFields count="32">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Hpakant"/>
        <s v="Waingmaw"/>
        <s v="Namhkan"/>
        <s v="Chipwi"/>
        <s v="Bhamo"/>
        <s v="Momauk"/>
        <s v="Mansi"/>
        <s v="Shwegu"/>
        <s v="Puta-O"/>
        <s v="Mogaung"/>
        <s v="Mohnyin"/>
        <s v="Muse"/>
        <s v="Kutkai"/>
        <s v="Manton"/>
        <s v="Khaunglanhpu"/>
        <s v="Injangyang"/>
        <s v="Machanbaw"/>
        <s v="Namtu"/>
        <s v="Sumprabum"/>
        <s v="Tanai"/>
        <s v="Hsen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83">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1 Ward, Sein Yadanar Company(Lon Khin)"/>
        <s v="Jan Mai Kawng Baptist Church"/>
        <s v="Jan Mai Kawng Catholic Church"/>
        <s v="Maw Hpawng Hka Nan Baptist Church"/>
        <s v="Maw Hpawng Lhaovo Baptist Church"/>
        <s v="Wun Tho Buddhist Monastery"/>
        <s v="Ka Bu Dam CoC"/>
        <s v="Tat Kone COC Baptist - Tat Kone Htoi San"/>
        <s v="AG Church Pa Ma Tee"/>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A Lo Taw Pyae monastery"/>
        <s v="Anglican Church, Hmaw Si Sar"/>
        <s v="Nam Hkam (KBC Jaw Wang)"/>
        <s v="Thargaya Lisu Baptist Church"/>
        <s v="Waingmaw AG Church"/>
        <s v="Maina Lawang Baptist Church"/>
        <s v="Maina KBC (Bawng Ring)"/>
        <s v="Shing Jai"/>
        <s v="Chipwi KBC camp"/>
        <s v="Hpare Hkyer - BP6"/>
        <s v="Away Yar Rama Monastery, Ka Day village"/>
        <s v="Lan Jaw "/>
        <s v="Aye Mya Tharyar Church of Christ "/>
        <s v="Robert Church"/>
        <s v="Lisu Boarding-House"/>
        <s v="AD-2000 Tharthana Compound"/>
        <s v="Mu-yin Baptist Church"/>
        <s v="Htoi San Church"/>
        <s v="Yoe Kyi Monastery"/>
        <s v="Nant Hlaing Church"/>
        <s v="Ta Gun Taing Monastery (Shwe Kyi Na)"/>
        <s v="Nam Hkam Malut Jak "/>
        <s v="Momauk Baptist Church"/>
        <s v="Nam Hkam Catholic Church ( St. Thomas I)"/>
        <s v="Ban Hkung (School)"/>
        <s v="Ban Hkung Yang"/>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Ban Hkung Yang (Boarding School)"/>
        <s v="Tote Tan Ward"/>
        <s v="Ma Hawng Baptist Church"/>
        <s v="Kyun Taw Baptist Church "/>
        <s v="Nat Gyi Kone Baptist Church "/>
        <s v="Namti"/>
        <s v="St. Patrick Catholic Church "/>
        <s v="Baptist Church, Naung Hmee VT"/>
        <s v="Baptist Church, Sai Ra village"/>
        <s v="Border Post 10"/>
        <s v="Bum Tsit Pa Camp II"/>
        <s v="Chin(Zomi) Baptist Church"/>
        <s v="Daw Hpum Yang Ninghtawn"/>
        <s v="Ei Wan Gali Asso., Ward 1, Seik Mu"/>
        <s v="Free Christian Asso., Ward 1, Seik Mu"/>
        <s v="Maw Wan, Mu-yin Baptist Church"/>
        <s v="Nam Hkam - Nay Win Ni (Palawng)"/>
        <s v="Mung Baw "/>
        <s v="Gant Gwin"/>
        <s v="Mungji Pa Dabang (Baptist Church)         "/>
        <s v="Hmaw Wan, Baptist Christian Church"/>
        <s v="Nam Hpak Ka Mare "/>
        <s v="IDPs scattered in South Mansi"/>
        <s v="Mandung - Jinghpaw"/>
        <s v="Howa"/>
        <s v="Kannar Yeik Thar"/>
        <s v="Nam Hkyet"/>
        <s v="Nant Ma Hpit Catholic Church"/>
        <s v="Munekoe Pa (Giwang) - Hka San (Mung  Go  Pa ) "/>
        <s v="Yumar Baptist Church"/>
        <s v="La Ja"/>
        <s v="Lagatyan "/>
        <s v="Laiza Market 3 - Laiza Gat"/>
        <s v="Chin Church, Seik Mu"/>
        <s v="Lawk Hkawng Ginwang"/>
        <s v="Lung Kawk  ( Hka Hkye Zup)"/>
        <s v="Border Post 8"/>
        <s v="Ma Mon Buddhist Monastery"/>
        <s v="Hkau Shau (BP 12)"/>
        <s v="Woi Chyai "/>
        <s v="Machanbaw - KBC"/>
        <s v="Man Kawng Baptist Church"/>
        <s v="Maga Yang "/>
        <s v="Pajau - Jan Mai"/>
        <s v="Je Yang Hka "/>
        <s v="Hpun Lum Yang "/>
        <s v="Dum Bung "/>
        <s v="Pa Kahtawng "/>
        <s v="Lana Zup Ja "/>
        <s v="Bum Tsit Pa "/>
        <s v="Nhkawng Pa "/>
        <s v="Man Wing Catholic Church"/>
        <s v="Man Wing Baptist Church"/>
        <s v="Man Wing Host Families"/>
        <s v="Man Kawng Catholic Church"/>
        <s v="Manau Compound"/>
        <s v="Mandalay Monestry"/>
        <s v="Mashi Kahtawng Baptist  Church"/>
        <s v="Lawk Awng Mare D. (Sinbo Area)"/>
        <s v="Hlaing Naung Baptist"/>
        <s v="Nawng Ing (Indawgyi) Baptist Church  "/>
        <s v="Post 6 Camp"/>
        <s v="Pa Dauk Myaing(Pa La Na)"/>
        <s v="Host Families"/>
        <s v="Lisu Baptist Church, Maw Wan Ward"/>
        <s v="5 Ward RC Church(lon Khin)"/>
        <s v="Baptist Church, Hmaw Si Sar(Lon Khin)"/>
        <s v="Dhama Rakhita, Nyein Chan Tar Yar Ward(Lon Khin)"/>
        <s v="Mashi Kahtawng Catholic Church"/>
        <s v="Mashi Kahtawng Evangelical Church"/>
        <s v="Mashi Kahtawng Municipal Dammar Yone"/>
        <s v="Mashi Kahtawng Myo Oo Taw Ya Monestry"/>
        <s v="AG Church, Hmaw Si Sa"/>
        <s v="Mashi Kahtawng Rakhine traditional group"/>
        <s v="5 Ward Baptist Church(lon Khin)"/>
        <s v="Mashi Kahtawng Shan Traditional Monestry"/>
        <s v="Mashi Kahtawng Yaung Chi Oo Thi la shin Monestry"/>
        <s v="Lisu Baptist Church, Maw Shan Vil,. Seik Mu"/>
        <s v="Maw Si Zar, Thiriyardanar Sein, Damma Compound, Lone Khin"/>
        <s v="Rawan Baptist Church, Maw Shan Vil., Seik Mu"/>
        <s v="Sai Nai Baptish Church, Maw Shan Vil., Seki Mu"/>
        <s v="Ward 2 Sai Taung Baptist Church, Seik Mu "/>
        <s v="AG Church, Maw Wan"/>
        <s v="Maw Wan, Catholic Church"/>
        <s v="Maw Wan, Kachin Baptist Church"/>
        <s v="Maw Wan, Kyauk Hlaing Gu Pagoda Compound"/>
        <s v="Maw Wan, Myo Oo Pagoda"/>
        <s v="Hmaw Wan, Anglican"/>
        <s v="Nam Ma Phyit, COC"/>
        <s v="Phan Khar Kone"/>
        <s v="Aung Thar Church"/>
        <s v="May Di Ka Rama Monastery(Lon Khin)"/>
        <s v="Lhaovao Baptist Church (LBC)"/>
        <s v="Man Ting"/>
        <s v="Khun Sint Village"/>
        <s v="Moke Lwe Village - Hkar Shi"/>
        <s v="Momauk Catholic Church (St. Patrick)"/>
        <s v="Nam Tu Baptist"/>
        <s v="Kone Khem Camp"/>
        <s v="Sumprabum"/>
        <s v="IDP Boarding School, A Len Bum"/>
        <s v="Kutkai downtown (KBC Church)"/>
        <s v="Pan Wa"/>
        <s v="Kutkai downtown (RC Church)"/>
        <s v="Mung Ding Pa "/>
        <s v="Mung Ding Pa  (Boarder)"/>
        <s v="Mine Yu Lay village"/>
        <s v="Muring Baptist Church, Awng Ra, Wa Ra Zut VT"/>
        <s v="Myay Myint Baptist Church"/>
        <s v="Nam Hka Mare (west of Man Wing)"/>
        <s v="Maing Khaung"/>
        <s v="Mungji Pa Dabang (RC Church)         "/>
        <s v="Zup Aung Camp"/>
        <s v="Hpai Kawng Mare"/>
        <s v="Nam Lim Pa"/>
        <s v="Maing Khaung Catholic Church"/>
        <s v="Nam Lim Pa    (Boarding School)"/>
        <s v="Saw Zam"/>
        <s v="Nam Lim Pa - Scattered IDPs in forest"/>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Nam Hkam Catholic Church ( St. Thomas II)"/>
        <s v="Wara Zup KBC Church"/>
        <s v="Nant Mun"/>
        <s v="Tanai RC Church - Kinsa Ra "/>
        <s v="Tanai AG Church "/>
        <s v="Tanai KBC Church "/>
        <s v="Tanai CoC"/>
        <s v="Shar Du Zut KBC church "/>
        <s v="Naung Khaing"/>
        <s v="Shar Du Zut RC church"/>
        <s v="Muyin church (Aung Yar pre-school compound)"/>
        <s v="Hka Shi"/>
        <s v="Sha-It Yang"/>
        <s v="Lawng Hkang Shait Yang Camp​ ( Lel Pyin)​ "/>
        <s v="Nawng Si Paw Village - Inn Lay"/>
        <s v="Nam Hkawng"/>
        <s v="Narte"/>
        <s v="Nga Pyaw Taw Baptist Nursery School "/>
        <s v="Mandung - RC"/>
        <s v="Nam Tu RC"/>
        <s v="Galeng (Kachin)"/>
        <s v="Nga Pyaw Taw Roman Catholic Church"/>
        <s v="Ni Thaw Ka Monestry"/>
        <s v="Parami, Charity Office, MyoMa Quarter"/>
        <s v="Galeng (Palaung)"/>
        <s v="Sa Baw Sarsana Parla Monastery"/>
        <s v="Muse Baptist Church"/>
        <s v="Nam Hkam (KBC Jaw Wang) II"/>
        <s v="Namhkan - Pang Long KBC"/>
        <s v="San Kyel, Masoe Yein Monestry"/>
        <s v="Muse Catholic Church"/>
        <s v="Mungji Pa Dabang (Catholic Church)"/>
        <s v="Nam Sa Larp"/>
        <s v="New Pang Ku "/>
        <s v="Mai Yu Lay Ta'ang"/>
        <s v="Pan Ta Pyae"/>
        <s v="Man Sa"/>
        <s v="Si Hkan Gyi"/>
        <s v="St. Patrick Church, Bhamo"/>
        <s v="Mong Wee Ta'ang"/>
        <s v="Mong Wee Shan"/>
        <s v="Nam Hpak Ka Ta'ang"/>
        <s v="Tsan Lun - Namjarap"/>
        <s v="Mung Hawm "/>
        <s v="Shwe Myint Thar Monastry "/>
        <s v="Namtu RC"/>
        <s v="Namtu KBC 1"/>
        <s v="Namtu KBC 2"/>
        <s v="Lisu Church Namtu"/>
        <s v="KBC (Ho Mun Ward)"/>
        <s v="Monastery (Myauk Kyaung)_North ward"/>
        <s v="Kamahtan Kyaung_(South ward)"/>
        <s v="Jwan Jaw KBC"/>
        <s v="Aung Mingalar_(Swan Saw ward)"/>
        <s v="Tar Ma Hkan Buddhist Monastery, Haung Par"/>
        <s v="Namt Hkun monastery"/>
        <s v="St. Peter Church (Ho Mun ward)"/>
        <s v="Gawrakha Youth Association"/>
        <s v="B.E.H.S 2 (Ho Mun ward)"/>
        <s v="Thar Ta Na Aung San monastery"/>
        <s v="Tharthana Ahlin Yaung New Monastery"/>
        <s v="Thiri Mingalar Manizay Yone, Myoma Quarter"/>
        <s v="Thu Kha Waddy"/>
        <s v="Waingmaw Baptist Zonal Office"/>
        <s v="Ward 2 Cahotlic Church, Seik Mu"/>
        <s v="B.E.H.S 4 (Ho Mun ward)"/>
        <s v="Women's Affairs Association Building"/>
        <s v="Wrad(5) Christian Association"/>
        <s v="Zai Awng - Mung Ga Zup"/>
        <s v="Zomee Baptist Church camp, Hmaw Wan"/>
        <s v="Wein Sai Church "/>
        <s v="Man Kaung/Naung Ti Kyar Village"/>
        <s v="Kutkai downtown (KBC Church-2)"/>
        <s v="Man Loi"/>
        <s v="Hpai Kawng"/>
        <s v="Pan Law"/>
        <s v="Kyu Sot"/>
      </sharedItems>
    </cacheField>
    <cacheField name="CP_Pcode" numFmtId="0">
      <sharedItems containsBlank="1" count="284">
        <s v="MMR001CMP001"/>
        <s v="MMR001CMP002"/>
        <s v="MMR001CMP003"/>
        <s v="MMR001CMP004"/>
        <s v="MMR001CMP005"/>
        <s v="MMR001CMP006"/>
        <s v="MMR001CMP007"/>
        <s v="MMR001CMP008"/>
        <s v="MMR001CMP009"/>
        <s v="MMR001CMP010"/>
        <s v="MMR001CMP013"/>
        <s v="MMR001CMP014"/>
        <s v="MMR001CMP015"/>
        <s v="MMR001CMP016"/>
        <s v="MMR001CMP171"/>
        <s v="MMR001CMP018"/>
        <s v="MMR001CMP019"/>
        <s v="MMR001CMP020"/>
        <s v="MMR001CMP021"/>
        <s v="MMR001CMP022"/>
        <m/>
        <s v="MMR001CMP023"/>
        <s v="MMR001CMP024"/>
        <s v="MMR001CMP025"/>
        <s v="MMR001CMP026"/>
        <s v="MMR001CMP027"/>
        <s v="MMR001CMP028"/>
        <s v="MMR001CMP029"/>
        <s v="MMR001CMP030"/>
        <s v="MMR001CMP031"/>
        <s v="MMR001CMP032"/>
        <s v="MMR001CMP033"/>
        <s v="MMR001CMP243"/>
        <s v="MMR001CMP173"/>
        <s v="MMR015CMP001"/>
        <s v="MMR001CMP037"/>
        <s v="MMR001CMP038"/>
        <s v="MMR001CMP039"/>
        <s v="MMR001CMP040"/>
        <s v="MMR001CMP041"/>
        <s v="MMR001CMP042"/>
        <s v="MMR001CMP043"/>
        <s v="MMR001CMP170"/>
        <s v="MMR001CMP045"/>
        <s v="MMR001CMP092"/>
        <s v="MMR001CMP047"/>
        <s v="MMR001CMP049"/>
        <s v="MMR001CMP050"/>
        <s v="MMR001CMP051"/>
        <s v="MMR001CMP052"/>
        <s v="MMR001CMP053"/>
        <s v="MMR001CMP054"/>
        <s v="MMR001CMP055"/>
        <s v="MMR015CMP002"/>
        <s v="MMR001CMP056"/>
        <s v="MMR015CMP003"/>
        <s v="MMR001CMP215"/>
        <s v="MMR001CMP216"/>
        <s v="MMR001CMP060"/>
        <s v="MMR001CMP061"/>
        <s v="MMR001CMP062"/>
        <s v="MMR001CMP063"/>
        <s v="MMR001CMP064"/>
        <s v="MMR001CMP065"/>
        <s v="MMR001CMP066"/>
        <s v="MMR001CMP067"/>
        <s v="MMR001CMP068"/>
        <s v="MMR001CMP069"/>
        <s v="MMR001CMP070"/>
        <s v="MMR001CMP071"/>
        <s v="MMR001CMP072"/>
        <s v="MMR001CMP073"/>
        <s v="MMR001CMP214"/>
        <s v="MMR001CMP075"/>
        <s v="MMR001CMP077"/>
        <s v="MMR001CMP078"/>
        <s v="MMR001CMP079"/>
        <s v="N/A"/>
        <s v="MMR001CMP080"/>
        <s v="MMR001CMP188"/>
        <s v="MMR001CMP172"/>
        <s v="MMR001CMP114"/>
        <s v="MMR001CMP226"/>
        <s v="MMR001CMP086"/>
        <s v="MMR001CMP153"/>
        <s v="MMR001CMP180"/>
        <s v="MMR001CMP186"/>
        <s v="MMR001CMP091"/>
        <s v="MMR015CMP004"/>
        <s v="MMR015CMP005"/>
        <s v="MMR001CMP046"/>
        <s v="MMR015CMP006"/>
        <s v="MMR001CMP189"/>
        <s v="MMR015CMP007"/>
        <s v="MMR001CMP217"/>
        <s v="MMR015CMP009"/>
        <s v="MMR015CMP010"/>
        <s v="MMR001CMP048"/>
        <s v="MMR015CMP011"/>
        <s v="MMR001CMP103"/>
        <s v="MMR015CMP012"/>
        <s v="MMR001CMP105"/>
        <s v="MMR001CMP074"/>
        <s v="MMR001CMP202"/>
        <s v="MMR001CMP117"/>
        <s v="MMR001CMP109"/>
        <s v="MMR001CMP146"/>
        <s v="MMR001CMP135"/>
        <s v="MMR001CMP113"/>
        <s v="MMR001CMP107"/>
        <s v="MMR001CMP115"/>
        <s v="MMR001CMP116"/>
        <s v="MMR001CMP221"/>
        <s v="MMR001CMP212"/>
        <s v="MMR001CMP119"/>
        <s v="MMR001CMP120"/>
        <s v="MMR001CMP121"/>
        <s v="MMR001CMP122"/>
        <s v="MMR001CMP123"/>
        <s v="MMR001CMP126"/>
        <s v="MMR001CMP128"/>
        <s v="MMR001CMP129"/>
        <s v="MMR001CMP131"/>
        <s v="MMR001CMP132"/>
        <s v="MMR001CMP133"/>
        <s v="MMR001CMP134"/>
        <s v="MMR001CMP213"/>
        <s v="MMR001CMP118"/>
        <s v="MMR001CMP058"/>
        <s v="MMR001CMP094"/>
        <s v="MMR001CMP147"/>
        <s v="MMR001CMP148"/>
        <s v="MMR001CMP152"/>
        <s v="MMR001CMP160"/>
        <s v="MMR001CMP162"/>
        <s v="MMR001CMP163"/>
        <s v="MMR001CMP167"/>
        <s v="MMR001CMP168"/>
        <s v="MMR001CMP169"/>
        <s v="MMR001CMP174"/>
        <s v="MMR001CMP093"/>
        <s v="MMR001CMP096"/>
        <s v="MMR001CMP098"/>
        <s v="MMR001CMP099"/>
        <s v="MMR001CMP176"/>
        <s v="MMR001CMP095"/>
        <s v="MMR001CMP179"/>
        <s v="MMR001CMP100"/>
        <s v="MMR001CMP097"/>
        <s v="MMR001CMP181"/>
        <s v="MMR001CMP106"/>
        <s v="MMR001CMP182"/>
        <s v="MMR001CMP183"/>
        <s v="MMR001CMP184"/>
        <s v="MMR001CMP190"/>
        <s v="MMR001CMP090"/>
        <s v="MMR001CMP085"/>
        <s v="MMR001CMP084"/>
        <s v="MMR001CMP088"/>
        <s v="MMR001CMP191"/>
        <s v="MMR001CMP192"/>
        <s v="MMR001CMP193"/>
        <s v="MMR001CMP194"/>
        <s v="MMR001CMP178"/>
        <s v="MMR001CMP195"/>
        <s v="MMR001CMP196"/>
        <s v="MMR001CMP197"/>
        <s v="MMR001CMP198"/>
        <s v="MMR001CMP199"/>
        <s v="MMR001CMP200"/>
        <s v="MMR001CMP035"/>
        <s v="MMR001CMP057"/>
        <s v="MMR015CMP014"/>
        <s v="MMR015CMP015"/>
        <s v="MMR001CMP206"/>
        <s v="MMR001CMP208"/>
        <s v="MMR015CMP016"/>
        <s v="MMR001CMP210"/>
        <s v="MMR015CMP017"/>
        <s v="MMR001CMP241"/>
        <s v="MMR001CMP203"/>
        <s v="MMR015CMP018"/>
        <s v="MMR001CMP177"/>
        <s v="MMR001CMP017"/>
        <s v="MMR001CMP136"/>
        <s v="MMR001CMP218"/>
        <s v="MMR015CMP019"/>
        <s v="MMR015CMP020"/>
        <s v="MMR015CMP022"/>
        <s v="MMR001CMP204"/>
        <s v="MMR001CMP223"/>
        <s v="MMR001CMP209"/>
        <s v="MMR001CMP225"/>
        <s v="MMR001CMP137"/>
        <s v="MMR001CMP227"/>
        <s v="MMR001CMP228"/>
        <s v="MMR001CMP229"/>
        <s v="MMR001CMP230"/>
        <s v="MMR001CMP231"/>
        <s v="MMR001CMP232"/>
        <s v="MMR001CMP233"/>
        <s v="MMR001CMP234"/>
        <s v="MMR001CMP235"/>
        <s v="MMR001CMP236"/>
        <s v="MMR001CMP237"/>
        <s v="MMR001CMP238"/>
        <s v="MMR001CMP239"/>
        <s v="MMR001CMP240"/>
        <s v="MMR015CMP024"/>
        <s v="MMR001CMP242"/>
        <s v="MMR001CMP081"/>
        <s v="MMR001CMP251"/>
        <s v="MMR001CMP252"/>
        <s v="MMR001CMP253"/>
        <s v="MMR001CMP254"/>
        <s v="MMR001CMP244"/>
        <s v="MMR001CMP220"/>
        <s v="MMR001CMP246"/>
        <s v="MMR001CMP247"/>
        <s v="MMR001CMP248"/>
        <s v="MMR001CMP249"/>
        <s v="MMR001CMP250"/>
        <s v="MMR001CMP034"/>
        <s v="MMR015CMP139"/>
        <s v="MMR015CMP207"/>
        <s v="MMR001CMP082"/>
        <s v="MMR015CMP209"/>
        <s v="MMR015CMP210"/>
        <s v="MMR015CMP211"/>
        <s v="MMR001CMP083"/>
        <s v="MMR001CMP059"/>
        <s v="MMR001CMP102"/>
        <s v="MMR015CMP212"/>
        <s v="MMR001CMP108"/>
        <s v="MMR015CMP213"/>
        <s v="MMR015CMP214"/>
        <s v="MMR015CMP215"/>
        <s v="MMR001CMP104"/>
        <s v="MMR015CMP216"/>
        <s v="MMR015CMP217"/>
        <s v="MMR015CMP218"/>
        <s v="MMR015CMP219"/>
        <s v="MMR015CMP220"/>
        <s v="MMR015CMP221"/>
        <s v="MMR015CMP222"/>
        <s v="MMR001CMP219"/>
        <s v="MMR001CMP222"/>
        <s v="MMR015CMP223"/>
        <s v="MMR015CMP224"/>
        <s v="MMR015CMP225"/>
        <s v="MMR015CMP226"/>
        <s v="MMR015CMP227"/>
        <s v="MMR015CMP228"/>
        <s v="MMR015CMP229"/>
        <s v="MMR015CMP230"/>
        <s v="MMR015CMP231"/>
        <s v="MMR015CMP232"/>
        <s v="MMR015CMP233"/>
        <s v="MMR015CMP234"/>
        <s v="MMR015CMP235"/>
        <s v="MMR015CMP236"/>
        <s v="MMR015CMP237"/>
        <s v="MMR001CMP110"/>
        <s v="MMR015CMP238"/>
        <s v="MMR015CMP239"/>
        <s v="MMR015CMP240"/>
        <s v="MMR015CMP241"/>
        <s v="MMR001CMP245"/>
        <s v="MMR001CMP224"/>
        <s v="MMR001CMP101"/>
        <s v="MMR001CMP211"/>
        <s v="MMR001CMP036"/>
        <s v="MMR001CMP185"/>
        <s v="MMR015CMP242"/>
        <s v="MMR001CMP044"/>
        <s v="MMR001CMP175"/>
        <s v="MMR001CMP111"/>
        <s v="MMR001CMP201"/>
        <s v="MMR015CMP243"/>
        <s v="MMR015CMP244"/>
        <s v="MMR015CMP245"/>
        <s v="MMR015CMP246"/>
        <s v="MMR015CMP247"/>
        <s v="MMR015CMP248"/>
      </sharedItems>
    </cacheField>
    <cacheField name="Longitude" numFmtId="0">
      <sharedItems containsString="0" containsBlank="1" containsNumber="1" minValue="96.269199999999998" maxValue="98.475719999999995" count="203">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6.359549999999999"/>
        <n v="97.373361000000003"/>
        <n v="97.379594999999995"/>
        <n v="97.2843958974359"/>
        <n v="97.290952037037002"/>
        <n v="97.403878500000005"/>
        <m/>
        <n v="97.379987"/>
        <n v="97.359320179999997"/>
        <n v="97.438432380952406"/>
        <n v="97.432495000000003"/>
        <n v="97.451965000000001"/>
        <n v="97.404195925926004"/>
        <n v="97.437782499999997"/>
        <n v="97.437472666666693"/>
        <n v="97.433419259259296"/>
        <n v="97.441166388888902"/>
        <n v="97.345039"/>
        <n v="96.662092000000001"/>
        <n v="97.669557999999995"/>
        <n v="97.428251153846105"/>
        <n v="97.444283730158702"/>
        <n v="97.426536944444507"/>
        <n v="97.434855869565197"/>
        <n v="98.025662999999994"/>
        <n v="98.131550000000004"/>
        <n v="98.475719999999995"/>
        <n v="96.339870000000005"/>
        <n v="98.354146999999998"/>
        <n v="97.229116811594196"/>
        <n v="97.240183461538507"/>
        <n v="97.238829999999993"/>
        <n v="97.234200000000001"/>
        <n v="97.236919999999998"/>
        <n v="97.240639999999999"/>
        <n v="97.315860000000001"/>
        <n v="97.227789999999999"/>
        <n v="97.344359999999995"/>
        <n v="97.67036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7.415289999999999"/>
        <n v="96.942279999999997"/>
        <n v="96.922619999999995"/>
        <n v="96.948740000000001"/>
        <n v="96.367059999999995"/>
        <n v="96.673805000000002"/>
        <n v="96.353070000000002"/>
        <n v="97.837778"/>
        <n v="97.608249999999998"/>
        <n v="96.319829999999996"/>
        <n v="97.681970000000007"/>
        <n v="98.054946000000001"/>
        <n v="98.220614999999995"/>
        <n v="97.818979999999996"/>
        <n v="97.124403000000001"/>
        <n v="98.116817999999995"/>
        <n v="97.221556500999995"/>
        <n v="98.129380999999995"/>
        <n v="96.341352999999998"/>
        <n v="98.320651999999995"/>
        <n v="96.306910999999999"/>
        <n v="98.144502500000002"/>
        <n v="97.601243999999994"/>
        <n v="97.551507000000001"/>
        <n v="96.283377000000002"/>
        <n v="97.585667000000001"/>
        <n v="97.915833000000006"/>
        <n v="97.807182999999995"/>
        <n v="97.546893999999995"/>
        <n v="97.586470000000006"/>
        <n v="97.710989999999995"/>
        <n v="97.715230000000005"/>
        <n v="97.751389000000003"/>
        <n v="97.568331999999998"/>
        <n v="97.573126000000002"/>
        <n v="97.537099999999995"/>
        <n v="97.752667000000002"/>
        <n v="97.625617000000005"/>
        <n v="97.609832999999995"/>
        <n v="97.669366999999994"/>
        <n v="97.578490000000002"/>
        <n v="97.589979999999997"/>
        <n v="97.588291999999996"/>
        <n v="97.550267000000005"/>
        <n v="97.346940000000004"/>
        <n v="96.310928000000004"/>
        <n v="96.705960000000005"/>
        <n v="96.364949999999993"/>
        <n v="97.990555999999998"/>
        <n v="97.4345"/>
        <n v="97.228835000000004"/>
        <n v="96.316400000000002"/>
        <n v="96.361609999999999"/>
        <n v="96.346469999999997"/>
        <n v="96.35257"/>
        <n v="96.345569999999995"/>
        <n v="96.355270000000004"/>
        <n v="96.269199999999998"/>
        <n v="96.343350000000001"/>
        <n v="96.279200000000003"/>
        <n v="96.353030000000004"/>
        <n v="96.286680000000004"/>
        <n v="96.317350000000005"/>
        <n v="96.316210999999996"/>
        <n v="96.316564"/>
        <n v="96.339590000000001"/>
        <n v="97.252650000000003"/>
        <n v="96.359309999999994"/>
        <n v="98.129990000000006"/>
        <n v="97.298055000000005"/>
        <n v="97.348405"/>
        <n v="97.276591999999994"/>
        <n v="96.793177"/>
        <n v="97.343406999999999"/>
        <n v="97.421104"/>
        <n v="97.346950000000007"/>
        <n v="97.404089999999997"/>
        <n v="97.848529999999997"/>
        <n v="97.568836000000005"/>
        <n v="97.541793999999996"/>
        <n v="97.926813999999993"/>
        <n v="98.377780000000001"/>
        <n v="97.947360000000003"/>
        <n v="97.174999999999997"/>
        <n v="96.808850000000007"/>
        <n v="97.793019999999999"/>
        <n v="96.354159999999993"/>
        <n v="97.376671999999999"/>
        <n v="97.225881000000001"/>
        <n v="98.213958000000005"/>
        <n v="97.837040000000002"/>
        <n v="98.115809999999996"/>
        <n v="97.132339999999999"/>
        <n v="97.227057000000002"/>
        <n v="98.356260000000006"/>
        <n v="97.561105999999995"/>
        <n v="97.578367"/>
        <n v="96.312790000000007"/>
        <n v="97.590767"/>
        <n v="96.637"/>
        <n v="96.52534"/>
        <n v="96.366919999999993"/>
        <n v="97.416121000000004"/>
        <n v="96.793999999999997"/>
        <n v="97.745480999999998"/>
        <n v="97.75609"/>
        <n v="97.461271999999994"/>
        <n v="97.678299999999993"/>
        <n v="97.58184"/>
        <n v="97.430321000000006"/>
        <n v="98.139397000000002"/>
        <n v="98.352670000000003"/>
        <n v="97.116680000000002"/>
        <n v="97.398989"/>
        <n v="96.31326"/>
        <n v="97.347740000000002"/>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239130000000003"/>
        <n v="97.438259000000002"/>
        <n v="96.288250000000005"/>
        <n v="97.756789999999995"/>
        <n v="96.315601999999998"/>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18"/>
    </cacheField>
    <cacheField name="Total" numFmtId="0">
      <sharedItems containsString="0" containsBlank="1" containsNumber="1" containsInteger="1" minValue="0" maxValue="8513"/>
    </cacheField>
    <cacheField name="Avg" numFmtId="2">
      <sharedItems containsMixedTypes="1" containsNumber="1" minValue="1.875" maxValue="6.75"/>
    </cacheField>
    <cacheField name="Accessibility" numFmtId="0">
      <sharedItems count="2">
        <s v="GCA"/>
        <s v="NGCA"/>
      </sharedItems>
    </cacheField>
    <cacheField name="Affected Population" numFmtId="49">
      <sharedItems count="1">
        <s v="IDP"/>
      </sharedItems>
    </cacheField>
    <cacheField name="Type of Accommodation" numFmtId="0">
      <sharedItems/>
    </cacheField>
    <cacheField name="Type of Location" numFmtId="0">
      <sharedItems containsBlank="1" count="4">
        <s v="Urban"/>
        <m/>
        <s v="Rural"/>
        <s v="Forest/bush"/>
      </sharedItems>
    </cacheField>
    <cacheField name="Opening Date" numFmtId="0">
      <sharedItems containsNonDate="0" containsDate="1" containsString="0" containsBlank="1" minDate="2011-03-01T00:00:00" maxDate="2017-08-17T00:00:00" count="52">
        <d v="2011-06-01T00:00:00"/>
        <d v="2011-07-01T00:00:00"/>
        <d v="2011-08-01T00:00:00"/>
        <d v="2011-10-01T00:00:00"/>
        <d v="2012-01-01T00:00:00"/>
        <d v="2011-03-01T00:00:00"/>
        <m/>
        <d v="2012-04-01T00:00:00"/>
        <d v="2017-07-13T00:00:00"/>
        <d v="2017-08-16T00:00:00"/>
        <d v="2012-02-01T00:00:00"/>
        <d v="2012-05-01T00:00:00"/>
        <d v="2013-06-01T00:00:00"/>
        <d v="2013-07-01T00:00:00"/>
        <d v="2016-08-02T00:00:00"/>
        <d v="2011-12-01T00:00:00"/>
        <d v="2011-11-01T00:00:00"/>
        <d v="2012-06-01T00:00:00"/>
        <d v="2012-12-01T00:00:00"/>
        <d v="2012-10-01T00:00:00"/>
        <d v="2012-08-01T00:00:00"/>
        <d v="2013-11-01T00:00:00"/>
        <d v="2012-03-01T00:00:00"/>
        <d v="2017-08-15T00:00:00"/>
        <d v="2013-01-01T00:00:00"/>
        <d v="2013-12-01T00:00:00"/>
        <d v="2011-09-01T00:00:00"/>
        <d v="2013-08-01T00:00:00"/>
        <d v="2012-07-01T00:00:00"/>
        <d v="2013-04-01T00:00:00"/>
        <d v="2013-09-01T00:00:00"/>
        <d v="2014-03-03T00:00:00"/>
        <d v="2013-10-01T00:00:00"/>
        <d v="2014-06-01T00:00:00"/>
        <d v="2014-04-01T00:00:00"/>
        <d v="2015-01-15T00:00:00"/>
        <d v="2015-06-25T00:00:00"/>
        <d v="2015-05-01T00:00:00"/>
        <d v="2015-02-01T00:00:00"/>
        <d v="2016-01-01T00:00:00"/>
        <d v="2017-01-06T00:00:00"/>
        <d v="2017-01-17T00:00:00"/>
        <d v="2017-06-01T00:00:00"/>
        <d v="2014-03-05T00:00:00"/>
        <d v="2014-11-04T00:00:00"/>
        <d v="2014-04-18T00:00:00"/>
        <d v="2014-04-05T00:00:00"/>
        <d v="2016-03-06T00:00:00"/>
        <d v="2016-02-01T00:00:00"/>
        <d v="2016-03-01T00:00:00"/>
        <d v="2016-12-20T00:00:00"/>
        <d v="2017-02-15T00:00:00"/>
      </sharedItems>
    </cacheField>
    <cacheField name="Responsible Agency" numFmtId="0">
      <sharedItems containsBlank="1" count="7">
        <s v="KBC"/>
        <s v="Shalom"/>
        <m/>
        <s v="KMSS-MYT"/>
        <s v="uncovered"/>
        <s v="KMSS-BMO"/>
        <s v="KMSS-LSO"/>
      </sharedItems>
    </cacheField>
    <cacheField name="Source" numFmtId="0">
      <sharedItems containsBlank="1"/>
    </cacheField>
    <cacheField name="Update Date" numFmtId="0">
      <sharedItems containsDate="1" containsBlank="1" containsMixedTypes="1" minDate="2013-01-15T00:00:00" maxDate="2017-10-01T00:00:00"/>
    </cacheField>
    <cacheField name="Date of attempt to follow up" numFmtId="0">
      <sharedItems containsNonDate="0" containsDate="1" containsString="0" containsBlank="1" minDate="2017-06-18T00:00:00" maxDate="2017-07-1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32.827754639406997"/>
    </cacheField>
    <cacheField name="Distance_Cat" numFmtId="0">
      <sharedItems containsBlank="1" containsMixedTypes="1" containsNumber="1" containsInteger="1" minValue="1" maxValue="7"/>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3021.665886805553" missingItemsLimit="0" createdVersion="4" refreshedVersion="5" minRefreshableVersion="3" recordCount="94">
  <cacheSource type="worksheet">
    <worksheetSource name="Table_NFI"/>
  </cacheSource>
  <cacheFields count="44">
    <cacheField name="Distribution Date" numFmtId="0">
      <sharedItems containsDate="1" containsMixedTypes="1" minDate="2017-01-02T00:00:00" maxDate="2017-08-30T00:00:00" count="51">
        <s v="30-Sep-2017"/>
        <s v="29-09-2017"/>
        <s v="07-Sep-2017"/>
        <d v="2017-08-15T00:00:00"/>
        <d v="2017-08-16T00:00:00"/>
        <d v="2017-08-07T00:00:00"/>
        <d v="2017-08-01T00:00:00"/>
        <d v="2017-08-29T00:00:00"/>
        <d v="2017-08-19T00:00:00"/>
        <d v="2017-07-28T00:00:00"/>
        <d v="2017-06-28T00:00:00"/>
        <d v="2017-06-29T00:00:00"/>
        <d v="2017-06-14T00:00:00"/>
        <d v="2017-06-07T00:00:00"/>
        <d v="2017-06-17T00:00:00"/>
        <d v="2017-05-30T00:00:00"/>
        <d v="2017-05-28T00:00:00"/>
        <d v="2017-05-27T00:00:00"/>
        <d v="2017-05-26T00:00:00"/>
        <d v="2017-05-12T00:00:00"/>
        <d v="2017-05-25T00:00:00"/>
        <d v="2017-05-10T00:00:00"/>
        <d v="2017-05-05T00:00:00"/>
        <d v="2017-04-27T00:00:00"/>
        <d v="2017-04-13T00:00:00"/>
        <d v="2017-04-04T00:00:00"/>
        <d v="2017-03-31T00:00:00"/>
        <d v="2017-03-29T00:00:00"/>
        <d v="2017-03-20T00:00:00"/>
        <d v="2017-03-19T00:00:00"/>
        <d v="2017-03-16T00:00:00"/>
        <d v="2017-03-15T00:00:00"/>
        <d v="2017-03-14T00:00:00"/>
        <d v="2017-03-01T00:00:00"/>
        <d v="2017-02-16T00:00:00"/>
        <d v="2017-02-14T00:00:00"/>
        <d v="2017-02-13T00:00:00"/>
        <d v="2017-02-10T00:00:00"/>
        <d v="2017-02-09T00:00:00"/>
        <d v="2017-02-02T00:00:00"/>
        <d v="2017-02-01T00:00:00"/>
        <d v="2017-01-31T00:00:00"/>
        <d v="2017-01-28T00:00:00"/>
        <d v="2017-01-26T00:00:00"/>
        <d v="2017-01-23T00:00:00"/>
        <d v="2017-01-20T00:00:00"/>
        <d v="2017-01-19T00:00:00"/>
        <d v="2017-01-18T00:00:00"/>
        <d v="2017-01-15T00:00:00"/>
        <d v="2017-01-10T00:00:00"/>
        <d v="2017-01-02T00:00:00"/>
      </sharedItems>
    </cacheField>
    <cacheField name="Agency" numFmtId="0">
      <sharedItems count="8">
        <s v="Solidarites"/>
        <s v="UNHCR"/>
        <s v="NRC"/>
        <s v="SI"/>
        <s v="NRC/KBC"/>
        <s v="Metta"/>
        <s v="MRCS"/>
        <s v="UNHCR/Shalom"/>
      </sharedItems>
    </cacheField>
    <cacheField name="Implementing Partner" numFmtId="0">
      <sharedItems containsBlank="1"/>
    </cacheField>
    <cacheField name="State" numFmtId="0">
      <sharedItems/>
    </cacheField>
    <cacheField name="Township" numFmtId="0">
      <sharedItems count="15">
        <s v="Tanai"/>
        <s v="Waignmaw"/>
        <s v="Bhamo"/>
        <s v="Swegu"/>
        <s v="Shwegu"/>
        <s v="Momauk"/>
        <s v="Mansi"/>
        <s v="Myitkyina"/>
        <s v="Namtu"/>
        <s v="Kutkai"/>
        <s v="Hseni"/>
        <s v="Waingmaw"/>
        <s v="Sumprabum"/>
        <s v="Chipwi"/>
        <s v="Hpakant"/>
      </sharedItems>
    </cacheField>
    <cacheField name="Location" numFmtId="0">
      <sharedItems/>
    </cacheField>
    <cacheField name="Cash for NFI (# of HHs covered)" numFmtId="0">
      <sharedItems containsString="0" containsBlank="1" containsNumber="1" containsInteger="1" minValue="288" maxValue="288"/>
    </cacheField>
    <cacheField name="Hygiene Kit" numFmtId="1">
      <sharedItems containsString="0" containsBlank="1" containsNumber="1" containsInteger="1" minValue="2" maxValue="131"/>
    </cacheField>
    <cacheField name="NFI Core Kit" numFmtId="1">
      <sharedItems containsString="0" containsBlank="1" containsNumber="1" containsInteger="1" minValue="1" maxValue="141"/>
    </cacheField>
    <cacheField name="Sanitary Kit" numFmtId="1">
      <sharedItems containsString="0" containsBlank="1" containsNumber="1" containsInteger="1" minValue="1" maxValue="657"/>
    </cacheField>
    <cacheField name="Mosquito net" numFmtId="1">
      <sharedItems containsString="0" containsBlank="1" containsNumber="1" containsInteger="1" minValue="2" maxValue="255"/>
    </cacheField>
    <cacheField name="Tarpaulin" numFmtId="1">
      <sharedItems containsString="0" containsBlank="1" containsNumber="1" containsInteger="1" minValue="1" maxValue="255"/>
    </cacheField>
    <cacheField name="Blanket" numFmtId="1">
      <sharedItems containsString="0" containsBlank="1" containsNumber="1" containsInteger="1" minValue="2" maxValue="350"/>
    </cacheField>
    <cacheField name="Kitchen Set" numFmtId="1">
      <sharedItems containsString="0" containsBlank="1" containsNumber="1" containsInteger="1" minValue="1" maxValue="143"/>
    </cacheField>
    <cacheField name="Clothes Kit" numFmtId="1">
      <sharedItems containsString="0" containsBlank="1" containsNumber="1" containsInteger="1" minValue="60" maxValue="60"/>
    </cacheField>
    <cacheField name="Plastic Bucket" numFmtId="1">
      <sharedItems containsString="0" containsBlank="1" containsNumber="1" containsInteger="1" minValue="1" maxValue="91"/>
    </cacheField>
    <cacheField name="Plastic Mat" numFmtId="1">
      <sharedItems containsString="0" containsBlank="1" containsNumber="1" containsInteger="1" minValue="3" maxValue="188"/>
    </cacheField>
    <cacheField name="Winter Clothes Adult" numFmtId="1">
      <sharedItems containsString="0" containsBlank="1" containsNumber="1" containsInteger="1" minValue="62" maxValue="540"/>
    </cacheField>
    <cacheField name="Winter Clothes Children" numFmtId="1">
      <sharedItems containsString="0" containsBlank="1" containsNumber="1" containsInteger="1" minValue="33" maxValue="203"/>
    </cacheField>
    <cacheField name="Winter Items Other" numFmtId="1">
      <sharedItems containsNonDate="0" containsString="0" containsBlank="1"/>
    </cacheField>
    <cacheField name="Winter Blanket" numFmtId="1">
      <sharedItems containsString="0" containsBlank="1" containsNumber="1" containsInteger="1" minValue="36" maxValue="135"/>
    </cacheField>
    <cacheField name="Jerry Can" numFmtId="1">
      <sharedItems containsString="0" containsBlank="1" containsNumber="1" containsInteger="1" minValue="1" maxValue="91"/>
    </cacheField>
    <cacheField name="Solar lamps" numFmtId="1">
      <sharedItems containsString="0" containsBlank="1" containsNumber="1" containsInteger="1" minValue="60" maxValue="167"/>
    </cacheField>
    <cacheField name="Shelter Tool kit" numFmtId="1">
      <sharedItems containsString="0" containsBlank="1" containsNumber="1" containsInteger="1" minValue="85"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Blank="1"/>
    </cacheField>
    <cacheField name="Winter Items Other_LS" numFmtId="0">
      <sharedItems containsBlank="1"/>
    </cacheField>
    <cacheField name="Winter Blanket_LS" numFmtId="0">
      <sharedItems containsBlank="1"/>
    </cacheField>
    <cacheField name="Winter" numFmtId="0">
      <sharedItems containsString="0" containsBlank="1" containsNumber="1" containsInteger="1" minValue="0" maxValue="1"/>
    </cacheField>
    <cacheField name="Jerry Can_LS" numFmtId="0">
      <sharedItems containsBlank="1"/>
    </cacheField>
    <cacheField name="Shelter Tool kit_LS" numFmtId="0">
      <sharedItems containsBlank="1"/>
    </cacheField>
    <cacheField name="Tent_LS" numFmtId="0">
      <sharedItems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08"/>
    <n v="529"/>
    <n v="79"/>
    <n v="152"/>
    <n v="0"/>
    <n v="137"/>
    <n v="0"/>
    <n v="108"/>
    <s v="No"/>
    <n v="0"/>
  </r>
  <r>
    <s v="MMR001CMP046"/>
    <x v="0"/>
    <s v="Gant Gwin"/>
    <s v="Chipwi"/>
    <n v="0"/>
    <n v="0"/>
    <n v="0"/>
    <n v="0"/>
    <n v="0"/>
    <n v="0"/>
    <n v="0"/>
    <n v="0"/>
    <s v=""/>
    <n v="0"/>
  </r>
  <r>
    <s v="MMR001CMP043"/>
    <x v="0"/>
    <s v="Hpare Hkyer - BP6"/>
    <s v="Chipwi"/>
    <n v="158"/>
    <n v="945"/>
    <n v="0"/>
    <n v="0"/>
    <n v="0"/>
    <n v="316"/>
    <n v="158"/>
    <n v="158"/>
    <s v=""/>
    <n v="0"/>
  </r>
  <r>
    <s v="MMR001CMP045"/>
    <x v="0"/>
    <s v="Lan Jaw "/>
    <s v="Chipwi"/>
    <n v="0"/>
    <n v="0"/>
    <n v="0"/>
    <n v="0"/>
    <n v="0"/>
    <n v="0"/>
    <n v="0"/>
    <n v="0"/>
    <s v=""/>
    <n v="0"/>
  </r>
  <r>
    <s v="MMR001CMP195"/>
    <x v="0"/>
    <s v="Lhaovao Baptist Church (LBC)"/>
    <s v="Chipwi"/>
    <n v="144"/>
    <n v="644"/>
    <n v="97"/>
    <n v="203"/>
    <n v="0"/>
    <n v="191"/>
    <n v="0"/>
    <n v="144"/>
    <s v="No"/>
    <n v="0"/>
  </r>
  <r>
    <s v="MMR001CMP225"/>
    <x v="0"/>
    <s v="Saw Zam"/>
    <s v="Chipwi"/>
    <n v="31"/>
    <n v="176"/>
    <n v="0"/>
    <n v="0"/>
    <n v="0"/>
    <n v="62"/>
    <n v="31"/>
    <n v="31"/>
    <s v=""/>
    <n v="0"/>
  </r>
  <r>
    <s v="MMR001CMP210"/>
    <x v="0"/>
    <s v="Pan Wa"/>
    <s v="Chipwi"/>
    <n v="57"/>
    <n v="262"/>
    <n v="0"/>
    <n v="0"/>
    <n v="0"/>
    <n v="114"/>
    <n v="57"/>
    <n v="57"/>
    <s v=""/>
    <n v="0"/>
  </r>
  <r>
    <s v="MMR001CMP115"/>
    <x v="0"/>
    <s v="Hkau Shau (BP 12)"/>
    <s v="Waingmaw"/>
    <n v="149"/>
    <n v="830"/>
    <n v="0"/>
    <n v="0"/>
    <n v="0"/>
    <n v="298"/>
    <n v="149"/>
    <n v="149"/>
    <s v=""/>
    <n v="0"/>
  </r>
  <r>
    <s v="MMR001CMP120"/>
    <x v="0"/>
    <s v="Pajau - Jan Mai"/>
    <s v="Waingmaw"/>
    <n v="186"/>
    <n v="585"/>
    <n v="0"/>
    <n v="0"/>
    <n v="0"/>
    <n v="372"/>
    <n v="186"/>
    <n v="186"/>
    <s v=""/>
    <n v="0"/>
  </r>
  <r>
    <s v="MMR001CMP160"/>
    <x v="0"/>
    <s v="Post 6 Camp"/>
    <s v="Waingmaw"/>
    <n v="100"/>
    <n v="612"/>
    <n v="0"/>
    <n v="0"/>
    <n v="0"/>
    <n v="200"/>
    <n v="100"/>
    <n v="100"/>
    <s v=""/>
    <n v="0"/>
  </r>
  <r>
    <s v="MMR001CMP113"/>
    <x v="0"/>
    <s v="Border Post 8"/>
    <s v="Waingmaw"/>
    <n v="152"/>
    <n v="584"/>
    <n v="0"/>
    <n v="0"/>
    <n v="0"/>
    <n v="304"/>
    <n v="152"/>
    <n v="152"/>
    <s v=""/>
    <n v="0"/>
  </r>
  <r>
    <s v="MMR001CMP041"/>
    <x v="0"/>
    <s v="Shing Jai"/>
    <s v="Waingmaw"/>
    <n v="184"/>
    <n v="966"/>
    <n v="0"/>
    <n v="0"/>
    <n v="0"/>
    <n v="368"/>
    <n v="184"/>
    <n v="184"/>
    <s v=""/>
    <n v="0"/>
  </r>
  <r>
    <s v="MMR001CMP131"/>
    <x v="0"/>
    <s v="Nhkawng Pa "/>
    <s v="Momauk"/>
    <n v="358"/>
    <n v="1655"/>
    <n v="0"/>
    <n v="0"/>
    <n v="0"/>
    <n v="716"/>
    <n v="358"/>
    <n v="358"/>
    <s v=""/>
    <n v="0"/>
  </r>
  <r>
    <s v="MMR015CMP006"/>
    <x v="0"/>
    <s v="Mungji Pa Dabang (Baptist Church)         "/>
    <s v="Kutkai"/>
    <n v="46"/>
    <n v="252"/>
    <n v="0"/>
    <n v="0"/>
    <n v="0"/>
    <n v="92"/>
    <n v="46"/>
    <n v="46"/>
    <s v=""/>
    <n v="0"/>
  </r>
  <r>
    <s v="MMR015CMP005"/>
    <x v="0"/>
    <s v="Mung Baw "/>
    <s v="Muse"/>
    <n v="0"/>
    <n v="0"/>
    <n v="0"/>
    <n v="0"/>
    <n v="0"/>
    <n v="0"/>
    <n v="0"/>
    <n v="0"/>
    <s v=""/>
    <n v="0"/>
  </r>
  <r>
    <s v="MMR015CMP012"/>
    <x v="0"/>
    <s v="Munekoe Pa (Giwang) - Hka San (Mung  Go  Pa ) "/>
    <s v="Muse"/>
    <n v="0"/>
    <n v="0"/>
    <n v="0"/>
    <n v="0"/>
    <n v="0"/>
    <n v="0"/>
    <n v="0"/>
    <n v="0"/>
    <s v=""/>
    <n v="0"/>
  </r>
  <r>
    <s v="MMR001CMP129"/>
    <x v="1"/>
    <s v="Bum Tsit Pa "/>
    <s v="Mansi"/>
    <n v="386"/>
    <n v="1902"/>
    <n v="0"/>
    <n v="0"/>
    <n v="0"/>
    <n v="772"/>
    <n v="386"/>
    <n v="386"/>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718"/>
    <n v="3321"/>
    <n v="0"/>
    <n v="0"/>
    <n v="0"/>
    <n v="1436"/>
    <n v="718"/>
    <n v="718"/>
    <s v=""/>
    <n v="0"/>
  </r>
  <r>
    <s v="MMR001CMP121"/>
    <x v="1"/>
    <s v="Je Yang Hka "/>
    <s v="Momauk"/>
    <n v="1546"/>
    <n v="8610"/>
    <n v="0"/>
    <n v="0"/>
    <n v="0"/>
    <n v="3092"/>
    <n v="1546"/>
    <n v="1546"/>
    <s v=""/>
    <n v="0"/>
  </r>
  <r>
    <s v="MMR001CMP126"/>
    <x v="1"/>
    <s v="Pa Kahtawng "/>
    <s v="Momauk"/>
    <n v="597"/>
    <n v="3643"/>
    <n v="0"/>
    <n v="0"/>
    <n v="0"/>
    <n v="1194"/>
    <n v="597"/>
    <n v="597"/>
    <s v=""/>
    <n v="0"/>
  </r>
  <r>
    <s v="MMR001CMP123"/>
    <x v="1"/>
    <s v="Dum Bung "/>
    <s v="Momauk"/>
    <n v="103"/>
    <n v="461"/>
    <n v="0"/>
    <n v="0"/>
    <n v="0"/>
    <n v="206"/>
    <n v="103"/>
    <n v="103"/>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0"/>
    <n v="0"/>
    <n v="0"/>
    <n v="0"/>
    <n v="0"/>
    <n v="0"/>
    <n v="0"/>
    <n v="0"/>
    <s v=""/>
    <n v="0"/>
  </r>
  <r>
    <s v="MMR001CMP119"/>
    <x v="1"/>
    <s v="Maga Yang "/>
    <s v="Waingmaw"/>
    <n v="431"/>
    <n v="1920"/>
    <n v="0"/>
    <n v="0"/>
    <n v="0"/>
    <n v="862"/>
    <n v="431"/>
    <n v="431"/>
    <s v=""/>
    <n v="0"/>
  </r>
  <r>
    <s v="MMR015CMP009"/>
    <x v="1"/>
    <s v="Mandung - Jinghpaw"/>
    <s v="Manton"/>
    <n v="35"/>
    <n v="178"/>
    <n v="0"/>
    <n v="0"/>
    <n v="0"/>
    <n v="70"/>
    <n v="35"/>
    <n v="35"/>
    <s v=""/>
    <n v="0"/>
  </r>
  <r>
    <s v="MMR015CMP139"/>
    <x v="1"/>
    <s v="Nam Hkawng"/>
    <s v="Muse"/>
    <n v="9"/>
    <n v="44"/>
    <n v="0"/>
    <n v="0"/>
    <n v="0"/>
    <n v="18"/>
    <n v="9"/>
    <n v="9"/>
    <s v=""/>
    <n v="0"/>
  </r>
  <r>
    <s v="MMR001CMP071"/>
    <x v="2"/>
    <s v="Loi Je Baptist Church"/>
    <s v="Momauk"/>
    <n v="39"/>
    <n v="234"/>
    <n v="0"/>
    <n v="0"/>
    <n v="0"/>
    <n v="78"/>
    <n v="39"/>
    <n v="39"/>
    <s v=""/>
    <n v="0"/>
  </r>
  <r>
    <s v="MMR001CMP069"/>
    <x v="2"/>
    <s v="Loi Je Catholic Church"/>
    <s v="Momauk"/>
    <n v="103"/>
    <n v="495"/>
    <n v="0"/>
    <n v="0"/>
    <n v="0"/>
    <n v="206"/>
    <n v="103"/>
    <n v="103"/>
    <s v=""/>
    <n v="0"/>
  </r>
  <r>
    <s v="MMR001CMP070"/>
    <x v="2"/>
    <s v="Loi Je Lisu Camp"/>
    <s v="Momauk"/>
    <n v="194"/>
    <n v="1071"/>
    <n v="0"/>
    <n v="0"/>
    <n v="0"/>
    <n v="388"/>
    <n v="194"/>
    <n v="194"/>
    <s v=""/>
    <n v="0"/>
  </r>
  <r>
    <s v="MMR001CMP073"/>
    <x v="2"/>
    <s v="Seng Ja "/>
    <s v="Momauk"/>
    <n v="41"/>
    <n v="245"/>
    <n v="0"/>
    <n v="0"/>
    <n v="0"/>
    <n v="82"/>
    <n v="41"/>
    <n v="41"/>
    <s v=""/>
    <n v="0"/>
  </r>
  <r>
    <s v="MMR001CMP072"/>
    <x v="2"/>
    <s v="Nyaung Na Pin "/>
    <s v="Momauk"/>
    <n v="49"/>
    <n v="300"/>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75"/>
    <n v="0"/>
    <n v="0"/>
    <n v="0"/>
    <n v="28"/>
    <n v="14"/>
    <n v="14"/>
    <s v=""/>
    <n v="0"/>
  </r>
  <r>
    <s v="MMR015CMP015"/>
    <x v="2"/>
    <s v="Kone Khem Camp"/>
    <s v="Kutkai"/>
    <n v="0"/>
    <n v="0"/>
    <n v="0"/>
    <n v="0"/>
    <n v="0"/>
    <n v="0"/>
    <n v="0"/>
    <n v="0"/>
    <s v=""/>
    <n v="0"/>
  </r>
  <r>
    <s v="MMR015CMP016"/>
    <x v="2"/>
    <s v="Kutkai downtown (KBC Church)"/>
    <s v="Kutkai"/>
    <n v="57"/>
    <n v="280"/>
    <n v="0"/>
    <n v="0"/>
    <n v="0"/>
    <n v="114"/>
    <n v="57"/>
    <n v="57"/>
    <s v=""/>
    <n v="0"/>
  </r>
  <r>
    <s v="MMR015CMP017"/>
    <x v="2"/>
    <s v="Kutkai downtown (RC Church)"/>
    <s v="Kutkai"/>
    <n v="30"/>
    <n v="145"/>
    <n v="540"/>
    <n v="0"/>
    <n v="0"/>
    <n v="0"/>
    <n v="30"/>
    <n v="30"/>
    <s v="No"/>
    <n v="0"/>
  </r>
  <r>
    <s v="MMR015CMP018"/>
    <x v="2"/>
    <s v="Mine Yu Lay village"/>
    <s v="Kutkai"/>
    <n v="68"/>
    <n v="305"/>
    <n v="0"/>
    <n v="0"/>
    <n v="0"/>
    <n v="136"/>
    <n v="68"/>
    <n v="68"/>
    <s v=""/>
    <n v="0"/>
  </r>
  <r>
    <s v="MMR015CMP007"/>
    <x v="2"/>
    <s v="Nam Hpak Ka Mare "/>
    <s v="Kutkai"/>
    <n v="63"/>
    <n v="279"/>
    <n v="0"/>
    <n v="0"/>
    <n v="0"/>
    <n v="126"/>
    <n v="63"/>
    <n v="63"/>
    <s v=""/>
    <n v="0"/>
  </r>
  <r>
    <s v="MMR015CMP020"/>
    <x v="2"/>
    <s v="Zup Aung Camp"/>
    <s v="Kutkai"/>
    <n v="186"/>
    <n v="951"/>
    <n v="0"/>
    <n v="0"/>
    <n v="0"/>
    <n v="372"/>
    <n v="186"/>
    <n v="186"/>
    <s v=""/>
    <n v="0"/>
  </r>
  <r>
    <s v="MMR015CMP209"/>
    <x v="2"/>
    <s v="Mandung - RC"/>
    <s v="Manton"/>
    <n v="29"/>
    <n v="178"/>
    <n v="0"/>
    <n v="0"/>
    <n v="0"/>
    <n v="58"/>
    <n v="29"/>
    <n v="29"/>
    <s v=""/>
    <n v="0"/>
  </r>
  <r>
    <s v="MMR015CMP010"/>
    <x v="2"/>
    <s v="Howa"/>
    <s v="Muse"/>
    <n v="0"/>
    <n v="0"/>
    <n v="0"/>
    <n v="0"/>
    <n v="0"/>
    <n v="0"/>
    <n v="0"/>
    <n v="0"/>
    <s v=""/>
    <n v="0"/>
  </r>
  <r>
    <s v="MMR015CMP011"/>
    <x v="2"/>
    <s v="Nam Hkyet"/>
    <s v="Muse"/>
    <n v="0"/>
    <n v="0"/>
    <n v="0"/>
    <n v="0"/>
    <n v="0"/>
    <n v="0"/>
    <n v="0"/>
    <n v="0"/>
    <s v=""/>
    <n v="0"/>
  </r>
  <r>
    <s v="MMR015CMP004"/>
    <x v="2"/>
    <s v="Nam Hkam - Nay Win Ni (Palawng)"/>
    <s v="Namhkan"/>
    <n v="74"/>
    <n v="387"/>
    <n v="0"/>
    <n v="0"/>
    <n v="0"/>
    <n v="148"/>
    <n v="74"/>
    <n v="74"/>
    <s v=""/>
    <n v="0"/>
  </r>
  <r>
    <s v="MMR015CMP001"/>
    <x v="2"/>
    <s v="Nam Hkam (KBC Jaw Wang)"/>
    <s v="Namhkan"/>
    <n v="67"/>
    <n v="357"/>
    <n v="0"/>
    <n v="0"/>
    <n v="0"/>
    <n v="134"/>
    <n v="67"/>
    <n v="67"/>
    <s v=""/>
    <n v="0"/>
  </r>
  <r>
    <s v="MMR015CMP003"/>
    <x v="2"/>
    <s v="Nam Hkam Catholic Church ( St. Thomas I)"/>
    <s v="Namhkan"/>
    <n v="44"/>
    <n v="214"/>
    <n v="0"/>
    <n v="0"/>
    <n v="0"/>
    <n v="88"/>
    <n v="44"/>
    <n v="44"/>
    <s v=""/>
    <n v="0"/>
  </r>
  <r>
    <s v="MMR015CMP014"/>
    <x v="2"/>
    <s v="Nam Tu Baptist"/>
    <s v="Namtu"/>
    <n v="44"/>
    <n v="186"/>
    <n v="0"/>
    <n v="0"/>
    <n v="0"/>
    <n v="88"/>
    <n v="44"/>
    <n v="44"/>
    <s v=""/>
    <n v="0"/>
  </r>
  <r>
    <s v="MMR015CMP210"/>
    <x v="2"/>
    <s v="Nam Tu RC"/>
    <s v="Namtu"/>
    <n v="118"/>
    <n v="520"/>
    <n v="0"/>
    <n v="0"/>
    <n v="0"/>
    <n v="236"/>
    <n v="118"/>
    <n v="118"/>
    <s v=""/>
    <n v="0"/>
  </r>
  <r>
    <s v="MMR001CMP179"/>
    <x v="3"/>
    <s v="5 Ward Baptist Church(lon Khin)"/>
    <s v="Hpakant"/>
    <n v="66"/>
    <n v="362"/>
    <n v="0"/>
    <n v="0"/>
    <n v="0"/>
    <n v="132"/>
    <n v="66"/>
    <n v="66"/>
    <s v=""/>
    <n v="0"/>
  </r>
  <r>
    <s v="MMR001CMP168"/>
    <x v="3"/>
    <s v="5 Ward RC Church(lon Khin)"/>
    <s v="Hpakant"/>
    <n v="72"/>
    <n v="347"/>
    <n v="0"/>
    <n v="0"/>
    <n v="0"/>
    <n v="144"/>
    <n v="72"/>
    <n v="72"/>
    <s v=""/>
    <n v="0"/>
  </r>
  <r>
    <s v="MMR001CMP050"/>
    <x v="3"/>
    <s v="AD-2000 Tharthana Compound"/>
    <s v="Bhamo"/>
    <n v="257"/>
    <n v="1266"/>
    <n v="0"/>
    <n v="0"/>
    <n v="0"/>
    <n v="514"/>
    <n v="257"/>
    <n v="257"/>
    <s v=""/>
    <n v="0"/>
  </r>
  <r>
    <s v="MMR001CMP176"/>
    <x v="3"/>
    <s v="AG Church, Hmaw Si Sa"/>
    <s v="Hpakant"/>
    <n v="66"/>
    <n v="356"/>
    <n v="0"/>
    <n v="0"/>
    <n v="0"/>
    <n v="132"/>
    <n v="66"/>
    <n v="66"/>
    <s v=""/>
    <n v="0"/>
  </r>
  <r>
    <s v="MMR001CMP190"/>
    <x v="3"/>
    <s v="AG Church, Maw Wan"/>
    <s v="Hpakant"/>
    <n v="14"/>
    <n v="81"/>
    <n v="0"/>
    <n v="0"/>
    <n v="0"/>
    <n v="28"/>
    <n v="14"/>
    <n v="14"/>
    <s v=""/>
    <n v="0"/>
  </r>
  <r>
    <s v="MMR001CMP194"/>
    <x v="3"/>
    <s v="Aung Thar Church"/>
    <s v="Bhamo"/>
    <n v="12"/>
    <n v="55"/>
    <n v="0"/>
    <n v="0"/>
    <n v="0"/>
    <n v="24"/>
    <n v="12"/>
    <n v="12"/>
    <s v=""/>
    <n v="0"/>
  </r>
  <r>
    <s v="MMR001CMP216"/>
    <x v="3"/>
    <s v="Ban Hkung Yang"/>
    <s v="Mansi"/>
    <n v="0"/>
    <n v="0"/>
    <n v="0"/>
    <n v="0"/>
    <n v="0"/>
    <n v="0"/>
    <n v="0"/>
    <n v="0"/>
    <s v=""/>
    <n v="0"/>
  </r>
  <r>
    <s v="MMR001CMP169"/>
    <x v="3"/>
    <s v="Baptist Church, Hmaw Si Sar(Lon Khin)"/>
    <s v="Hpakant"/>
    <n v="38"/>
    <n v="231"/>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70"/>
    <n v="347"/>
    <n v="0"/>
    <n v="0"/>
    <n v="0"/>
    <n v="140"/>
    <n v="70"/>
    <n v="70"/>
    <s v=""/>
    <n v="0"/>
  </r>
  <r>
    <s v="MMR001CMP012"/>
    <x v="3"/>
    <s v="Du Kahtawng Qtr. 14"/>
    <s v="Myitkyina"/>
    <n v="6"/>
    <n v="32"/>
    <n v="0"/>
    <n v="0"/>
    <n v="0"/>
    <n v="12"/>
    <n v="6"/>
    <n v="6"/>
    <s v=""/>
    <n v="0"/>
  </r>
  <r>
    <s v="MMR001CMP010"/>
    <x v="3"/>
    <s v="Du Kahtawng Qtr. 4"/>
    <s v="Myitkyina"/>
    <n v="7"/>
    <n v="46"/>
    <n v="0"/>
    <n v="0"/>
    <n v="0"/>
    <n v="14"/>
    <n v="7"/>
    <n v="7"/>
    <s v=""/>
    <n v="0"/>
  </r>
  <r>
    <s v="MMR001CMP011"/>
    <x v="3"/>
    <s v="Du Kahtawng Qtr. 5"/>
    <s v="Myitkyina"/>
    <n v="31"/>
    <n v="118"/>
    <n v="0"/>
    <n v="0"/>
    <n v="0"/>
    <n v="62"/>
    <n v="31"/>
    <n v="31"/>
    <s v=""/>
    <n v="0"/>
  </r>
  <r>
    <s v="MMR001CMP028"/>
    <x v="3"/>
    <s v="Hkat Cho "/>
    <s v="Waingmaw"/>
    <n v="102"/>
    <n v="502"/>
    <n v="0"/>
    <n v="0"/>
    <n v="0"/>
    <n v="204"/>
    <n v="102"/>
    <n v="102"/>
    <s v=""/>
    <n v="0"/>
  </r>
  <r>
    <s v="MMR001CMP148"/>
    <x v="3"/>
    <s v="Hlaing Naung Baptist"/>
    <s v="Hpakant"/>
    <n v="13"/>
    <n v="45"/>
    <n v="0"/>
    <n v="0"/>
    <n v="0"/>
    <n v="26"/>
    <n v="13"/>
    <n v="13"/>
    <s v=""/>
    <n v="0"/>
  </r>
  <r>
    <s v="MMR001CMP191"/>
    <x v="3"/>
    <s v="Hmaw Wan, Anglican"/>
    <s v="Hpakant"/>
    <n v="4"/>
    <n v="26"/>
    <n v="0"/>
    <n v="0"/>
    <n v="0"/>
    <n v="8"/>
    <n v="4"/>
    <n v="4"/>
    <s v=""/>
    <n v="0"/>
  </r>
  <r>
    <s v="MMR001CMP163"/>
    <x v="3"/>
    <s v="Host Families"/>
    <s v="Bhamo"/>
    <n v="197"/>
    <n v="957"/>
    <n v="0"/>
    <n v="0"/>
    <n v="0"/>
    <n v="394"/>
    <n v="197"/>
    <n v="197"/>
    <s v=""/>
    <n v="0"/>
  </r>
  <r>
    <s v="MMR001CMP196"/>
    <x v="3"/>
    <s v="Host Families"/>
    <s v="Mansi"/>
    <n v="73"/>
    <n v="274"/>
    <n v="0"/>
    <n v="0"/>
    <n v="0"/>
    <n v="146"/>
    <n v="73"/>
    <n v="73"/>
    <s v=""/>
    <n v="0"/>
  </r>
  <r>
    <s v="MMR001CMP197"/>
    <x v="3"/>
    <s v="Host Families"/>
    <s v="Momauk"/>
    <n v="226"/>
    <n v="1048"/>
    <n v="0"/>
    <n v="0"/>
    <n v="0"/>
    <n v="452"/>
    <n v="226"/>
    <n v="226"/>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3"/>
    <n v="497"/>
    <n v="0"/>
    <n v="0"/>
    <n v="0"/>
    <n v="206"/>
    <n v="103"/>
    <n v="103"/>
    <s v=""/>
    <n v="0"/>
  </r>
  <r>
    <s v="MMR001CMP052"/>
    <x v="3"/>
    <s v="Htoi San Church"/>
    <s v="Bhamo"/>
    <n v="38"/>
    <n v="214"/>
    <n v="0"/>
    <n v="0"/>
    <n v="0"/>
    <n v="76"/>
    <n v="38"/>
    <n v="38"/>
    <s v=""/>
    <n v="0"/>
  </r>
  <r>
    <s v="MMR001CMP018"/>
    <x v="3"/>
    <s v="Jan Mai Kawng Baptist Church"/>
    <s v="Myitkyina"/>
    <n v="200"/>
    <n v="1112"/>
    <n v="0"/>
    <n v="0"/>
    <n v="0"/>
    <n v="400"/>
    <n v="200"/>
    <n v="200"/>
    <s v=""/>
    <n v="0"/>
  </r>
  <r>
    <s v="MMR001CMP019"/>
    <x v="3"/>
    <s v="Jan Mai Kawng Catholic Church"/>
    <s v="Myitkyina"/>
    <n v="122"/>
    <n v="595"/>
    <n v="0"/>
    <n v="0"/>
    <n v="0"/>
    <n v="244"/>
    <n v="122"/>
    <n v="122"/>
    <s v=""/>
    <n v="0"/>
  </r>
  <r>
    <s v="MMR001CMP200"/>
    <x v="3"/>
    <s v="Khun Sint Village"/>
    <s v="Momauk"/>
    <n v="4"/>
    <n v="26"/>
    <n v="0"/>
    <n v="0"/>
    <n v="0"/>
    <n v="8"/>
    <n v="4"/>
    <n v="4"/>
    <s v=""/>
    <n v="0"/>
  </r>
  <r>
    <s v="MMR001CMP013"/>
    <x v="3"/>
    <s v="Kyun Pin Thar Baptist Church"/>
    <s v="Myitkyina"/>
    <n v="42"/>
    <n v="186"/>
    <n v="0"/>
    <n v="0"/>
    <n v="0"/>
    <n v="84"/>
    <n v="42"/>
    <n v="42"/>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105"/>
    <n v="580"/>
    <n v="0"/>
    <n v="0"/>
    <n v="0"/>
    <n v="210"/>
    <n v="105"/>
    <n v="105"/>
    <s v=""/>
    <n v="0"/>
  </r>
  <r>
    <s v="MMR001CMP014"/>
    <x v="3"/>
    <s v="Le Kone Ziun Baptist Church "/>
    <s v="Myitkyina"/>
    <n v="139"/>
    <n v="705"/>
    <n v="0"/>
    <n v="0"/>
    <n v="0"/>
    <n v="278"/>
    <n v="139"/>
    <n v="139"/>
    <s v=""/>
    <n v="0"/>
  </r>
  <r>
    <s v="MMR001CMP181"/>
    <x v="3"/>
    <s v="Lisu Baptist Church, Maw Shan Vil,. Seik Mu"/>
    <s v="Hpakant"/>
    <n v="20"/>
    <n v="109"/>
    <n v="0"/>
    <n v="0"/>
    <n v="0"/>
    <n v="40"/>
    <n v="20"/>
    <n v="20"/>
    <s v=""/>
    <n v="0"/>
  </r>
  <r>
    <s v="MMR001CMP167"/>
    <x v="3"/>
    <s v="Lisu Baptist Church, Maw Wan Ward"/>
    <s v="Hpakant"/>
    <n v="12"/>
    <n v="62"/>
    <n v="0"/>
    <n v="0"/>
    <n v="0"/>
    <n v="24"/>
    <n v="12"/>
    <n v="12"/>
    <s v=""/>
    <n v="0"/>
  </r>
  <r>
    <s v="MMR001CMP049"/>
    <x v="3"/>
    <s v="Lisu Boarding-House"/>
    <s v="Bhamo"/>
    <n v="130"/>
    <n v="747"/>
    <n v="0"/>
    <n v="0"/>
    <n v="0"/>
    <n v="260"/>
    <n v="130"/>
    <n v="130"/>
    <s v=""/>
    <n v="0"/>
  </r>
  <r>
    <s v="MMR001CMP027"/>
    <x v="3"/>
    <s v="Mading Baptist Church"/>
    <s v="Waingmaw"/>
    <n v="30"/>
    <n v="261"/>
    <n v="0"/>
    <n v="0"/>
    <n v="0"/>
    <n v="60"/>
    <n v="30"/>
    <n v="30"/>
    <s v=""/>
    <n v="0"/>
  </r>
  <r>
    <s v="MMR001CMP064"/>
    <x v="3"/>
    <s v="Mai Khat "/>
    <s v="Momauk"/>
    <n v="49"/>
    <n v="300"/>
    <n v="0"/>
    <n v="0"/>
    <n v="0"/>
    <n v="98"/>
    <n v="49"/>
    <n v="49"/>
    <s v=""/>
    <n v="0"/>
  </r>
  <r>
    <s v="MMR001CMP031"/>
    <x v="3"/>
    <s v="Maina AG Church"/>
    <s v="Waingmaw"/>
    <n v="289"/>
    <n v="1584"/>
    <n v="0"/>
    <n v="0"/>
    <n v="0"/>
    <n v="578"/>
    <n v="289"/>
    <n v="289"/>
    <s v=""/>
    <n v="0"/>
  </r>
  <r>
    <s v="MMR001CMP029"/>
    <x v="3"/>
    <s v="Maina Catholic Church (St. Joseph)"/>
    <s v="Waingmaw"/>
    <n v="282"/>
    <n v="1466"/>
    <n v="0"/>
    <n v="0"/>
    <n v="0"/>
    <n v="564"/>
    <n v="282"/>
    <n v="282"/>
    <s v=""/>
    <n v="0"/>
  </r>
  <r>
    <s v="MMR001CMP040"/>
    <x v="3"/>
    <s v="Maina KBC (Bawng Ring)"/>
    <s v="Waingmaw"/>
    <n v="498"/>
    <n v="2531"/>
    <n v="0"/>
    <n v="0"/>
    <n v="0"/>
    <n v="996"/>
    <n v="498"/>
    <n v="498"/>
    <s v=""/>
    <n v="0"/>
  </r>
  <r>
    <s v="MMR001CMP039"/>
    <x v="3"/>
    <s v="Maina Lawang Baptist Church"/>
    <s v="Waingmaw"/>
    <n v="45"/>
    <n v="190"/>
    <n v="0"/>
    <n v="0"/>
    <n v="0"/>
    <n v="90"/>
    <n v="45"/>
    <n v="45"/>
    <s v=""/>
    <n v="0"/>
  </r>
  <r>
    <s v="MMR001CMP218"/>
    <x v="3"/>
    <s v="Maing Khaung"/>
    <s v="Mansi"/>
    <n v="403"/>
    <n v="1855"/>
    <n v="0"/>
    <n v="0"/>
    <n v="0"/>
    <n v="806"/>
    <n v="403"/>
    <n v="403"/>
    <s v=""/>
    <n v="0"/>
  </r>
  <r>
    <s v="MMR001CMP223"/>
    <x v="3"/>
    <s v="Maing Khaung Catholic Church"/>
    <s v="Mansi"/>
    <n v="174"/>
    <n v="779"/>
    <n v="144"/>
    <n v="0"/>
    <n v="0"/>
    <n v="204"/>
    <n v="174"/>
    <n v="174"/>
    <s v="No"/>
    <n v="0"/>
  </r>
  <r>
    <s v="MMR001CMP016"/>
    <x v="3"/>
    <s v="Maliyang Baptist Church"/>
    <s v="Myitkyina"/>
    <n v="62"/>
    <n v="309"/>
    <n v="0"/>
    <n v="0"/>
    <n v="0"/>
    <n v="124"/>
    <n v="62"/>
    <n v="62"/>
    <s v=""/>
    <n v="0"/>
  </r>
  <r>
    <s v="MMR001CMP062"/>
    <x v="3"/>
    <s v="Man Bung Catholic compound"/>
    <s v="Momauk"/>
    <n v="265"/>
    <n v="1183"/>
    <n v="0"/>
    <n v="0"/>
    <n v="0"/>
    <n v="530"/>
    <n v="265"/>
    <n v="265"/>
    <s v=""/>
    <n v="0"/>
  </r>
  <r>
    <s v="MMR001CMP008"/>
    <x v="3"/>
    <s v="Man Hkring Baptist Church"/>
    <s v="Myitkyina"/>
    <n v="104"/>
    <n v="574"/>
    <n v="0"/>
    <n v="0"/>
    <n v="0"/>
    <n v="208"/>
    <n v="104"/>
    <n v="104"/>
    <s v=""/>
    <n v="0"/>
  </r>
  <r>
    <s v="MMR001CMP063"/>
    <x v="3"/>
    <s v="Man Nawng "/>
    <s v="Momauk"/>
    <n v="28"/>
    <n v="136"/>
    <n v="0"/>
    <n v="0"/>
    <n v="0"/>
    <n v="56"/>
    <n v="28"/>
    <n v="28"/>
    <s v=""/>
    <n v="0"/>
  </r>
  <r>
    <s v="MMR001CMP198"/>
    <x v="3"/>
    <s v="Man Ting"/>
    <s v="Momauk"/>
    <n v="0"/>
    <n v="0"/>
    <n v="0"/>
    <n v="0"/>
    <n v="0"/>
    <n v="0"/>
    <n v="0"/>
    <n v="0"/>
    <s v=""/>
    <n v="0"/>
  </r>
  <r>
    <s v="MMR001CMP133"/>
    <x v="3"/>
    <s v="Man Wing Baptist Church"/>
    <s v="Mansi"/>
    <n v="98"/>
    <n v="524"/>
    <n v="0"/>
    <n v="0"/>
    <n v="0"/>
    <n v="196"/>
    <n v="98"/>
    <n v="98"/>
    <s v=""/>
    <n v="0"/>
  </r>
  <r>
    <s v="MMR001CMP132"/>
    <x v="3"/>
    <s v="Man Wing Catholic Church"/>
    <s v="Mansi"/>
    <n v="449"/>
    <n v="2252"/>
    <n v="0"/>
    <n v="0"/>
    <n v="0"/>
    <n v="898"/>
    <n v="449"/>
    <n v="449"/>
    <s v=""/>
    <n v="0"/>
  </r>
  <r>
    <s v="MMR001CMP228"/>
    <x v="3"/>
    <s v="Man Wing Catholic Church II"/>
    <s v="Mansi"/>
    <n v="145"/>
    <n v="654"/>
    <n v="0"/>
    <n v="0"/>
    <n v="0"/>
    <n v="290"/>
    <n v="145"/>
    <n v="145"/>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2"/>
    <n v="0"/>
    <n v="0"/>
    <n v="0"/>
    <n v="30"/>
    <n v="15"/>
    <n v="15"/>
    <s v=""/>
    <n v="0"/>
  </r>
  <r>
    <s v="MMR001CMP066"/>
    <x v="3"/>
    <s v="Mansi Baptist Church"/>
    <s v="Mansi"/>
    <n v="194"/>
    <n v="874"/>
    <n v="0"/>
    <n v="0"/>
    <n v="0"/>
    <n v="388"/>
    <n v="194"/>
    <n v="194"/>
    <s v=""/>
    <n v="0"/>
  </r>
  <r>
    <s v="MMR001CMP020"/>
    <x v="3"/>
    <s v="Maw Hpawng Hka Nan Baptist Church"/>
    <s v="Myitkyina"/>
    <n v="23"/>
    <n v="93"/>
    <n v="0"/>
    <n v="0"/>
    <n v="0"/>
    <n v="46"/>
    <n v="23"/>
    <n v="23"/>
    <s v=""/>
    <n v="0"/>
  </r>
  <r>
    <s v="MMR001CMP021"/>
    <x v="3"/>
    <s v="Maw Hpawng Lhaovo Baptist Church"/>
    <s v="Myitkyina"/>
    <n v="15"/>
    <n v="78"/>
    <n v="0"/>
    <n v="0"/>
    <n v="0"/>
    <n v="30"/>
    <n v="15"/>
    <n v="15"/>
    <s v=""/>
    <n v="0"/>
  </r>
  <r>
    <s v="MMR001CMP091"/>
    <x v="3"/>
    <s v="Maw Wan, Mu-yin Baptist Church"/>
    <s v="Hpakant"/>
    <n v="4"/>
    <n v="14"/>
    <n v="0"/>
    <n v="0"/>
    <n v="0"/>
    <n v="8"/>
    <n v="4"/>
    <n v="4"/>
    <s v=""/>
    <n v="0"/>
  </r>
  <r>
    <s v="MMR001CMP056"/>
    <x v="3"/>
    <s v="Momauk Baptist Church"/>
    <s v="Momauk"/>
    <n v="387"/>
    <n v="1874"/>
    <n v="0"/>
    <n v="0"/>
    <n v="0"/>
    <n v="774"/>
    <n v="387"/>
    <n v="387"/>
    <s v=""/>
    <n v="0"/>
  </r>
  <r>
    <s v="MMR001CMP057"/>
    <x v="3"/>
    <s v="Momauk Catholic Church (St. Patrick)"/>
    <s v="Momauk"/>
    <n v="0"/>
    <n v="0"/>
    <n v="0"/>
    <n v="0"/>
    <n v="0"/>
    <n v="0"/>
    <n v="0"/>
    <n v="0"/>
    <s v=""/>
    <n v="0"/>
  </r>
  <r>
    <s v="MMR015CMP213"/>
    <x v="3"/>
    <s v="Muse Baptist Church"/>
    <s v="Muse"/>
    <n v="44"/>
    <n v="214"/>
    <n v="0"/>
    <n v="0"/>
    <n v="0"/>
    <n v="88"/>
    <n v="44"/>
    <n v="44"/>
    <s v=""/>
    <n v="0"/>
  </r>
  <r>
    <s v="MMR015CMP216"/>
    <x v="3"/>
    <s v="Muse Catholic Church"/>
    <s v="Muse"/>
    <n v="25"/>
    <n v="113"/>
    <n v="0"/>
    <n v="0"/>
    <n v="0"/>
    <n v="50"/>
    <n v="25"/>
    <n v="25"/>
    <s v=""/>
    <n v="0"/>
  </r>
  <r>
    <s v="MMR001CMP051"/>
    <x v="3"/>
    <s v="Mu-yin Baptist Church"/>
    <s v="Bhamo"/>
    <n v="13"/>
    <n v="56"/>
    <n v="0"/>
    <n v="0"/>
    <n v="0"/>
    <n v="26"/>
    <n v="13"/>
    <n v="13"/>
    <s v=""/>
    <n v="0"/>
  </r>
  <r>
    <s v="MMR001CMP017"/>
    <x v="3"/>
    <s v="Myay Myint Baptist Church"/>
    <s v="Myitkyina"/>
    <n v="0"/>
    <n v="0"/>
    <n v="0"/>
    <n v="0"/>
    <n v="0"/>
    <n v="0"/>
    <n v="0"/>
    <n v="0"/>
    <s v=""/>
    <n v="0"/>
  </r>
  <r>
    <s v="MMR001CMP061"/>
    <x v="3"/>
    <s v="Myo Thit "/>
    <s v="Momauk"/>
    <n v="44"/>
    <n v="143"/>
    <n v="0"/>
    <n v="0"/>
    <n v="0"/>
    <n v="88"/>
    <n v="44"/>
    <n v="44"/>
    <s v=""/>
    <n v="0"/>
  </r>
  <r>
    <s v="MMR015CMP214"/>
    <x v="3"/>
    <s v="Nam Hkam (KBC Jaw Wang) II"/>
    <s v="Namhkan"/>
    <n v="36"/>
    <n v="179"/>
    <n v="0"/>
    <n v="0"/>
    <n v="0"/>
    <n v="72"/>
    <n v="36"/>
    <n v="36"/>
    <s v=""/>
    <n v="0"/>
  </r>
  <r>
    <s v="MMR001CMP192"/>
    <x v="3"/>
    <s v="Nam Ma Phyit, COC"/>
    <s v="Hpakant"/>
    <n v="12"/>
    <n v="55"/>
    <n v="0"/>
    <n v="0"/>
    <n v="0"/>
    <n v="24"/>
    <n v="12"/>
    <n v="12"/>
    <s v=""/>
    <n v="0"/>
  </r>
  <r>
    <s v="MMR015CMP215"/>
    <x v="3"/>
    <s v="Namhkan - Pang Long KBC"/>
    <s v="Namhkan"/>
    <n v="120"/>
    <n v="563"/>
    <n v="0"/>
    <n v="0"/>
    <n v="0"/>
    <n v="240"/>
    <n v="120"/>
    <n v="120"/>
    <s v=""/>
    <n v="0"/>
  </r>
  <r>
    <s v="MMR001CMP024"/>
    <x v="3"/>
    <s v="Nan Kway St. John Catholic Church"/>
    <s v="Myitkyina"/>
    <n v="63"/>
    <n v="322"/>
    <n v="0"/>
    <n v="0"/>
    <n v="0"/>
    <n v="126"/>
    <n v="63"/>
    <n v="63"/>
    <s v=""/>
    <n v="0"/>
  </r>
  <r>
    <s v="MMR001CMP054"/>
    <x v="3"/>
    <s v="Nant Hlaing Church"/>
    <s v="Bhamo"/>
    <n v="21"/>
    <n v="111"/>
    <n v="0"/>
    <n v="0"/>
    <n v="0"/>
    <n v="42"/>
    <n v="21"/>
    <n v="21"/>
    <s v=""/>
    <n v="0"/>
  </r>
  <r>
    <s v="MMR001CMP103"/>
    <x v="3"/>
    <s v="Nant Ma Hpit Catholic Church"/>
    <s v="Hpakant"/>
    <n v="50"/>
    <n v="218"/>
    <n v="0"/>
    <n v="0"/>
    <n v="0"/>
    <n v="100"/>
    <n v="50"/>
    <n v="50"/>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7"/>
    <n v="0"/>
    <n v="0"/>
    <n v="0"/>
    <n v="24"/>
    <n v="12"/>
    <n v="12"/>
    <s v=""/>
    <n v="0"/>
  </r>
  <r>
    <s v="MMR001CMP033"/>
    <x v="3"/>
    <s v="Nawng Hee Village"/>
    <s v="Waingmaw"/>
    <n v="20"/>
    <n v="86"/>
    <n v="0"/>
    <n v="0"/>
    <n v="0"/>
    <n v="40"/>
    <n v="20"/>
    <n v="20"/>
    <s v=""/>
    <n v="0"/>
  </r>
  <r>
    <s v="MMR001CMP152"/>
    <x v="3"/>
    <s v="Nawng Ing (Indawgyi) Baptist Church  "/>
    <s v="Mohnyin"/>
    <n v="19"/>
    <n v="103"/>
    <n v="0"/>
    <n v="0"/>
    <n v="0"/>
    <n v="38"/>
    <n v="19"/>
    <n v="19"/>
    <s v=""/>
    <n v="0"/>
  </r>
  <r>
    <s v="MMR001CMP059"/>
    <x v="3"/>
    <s v="Ni Thaw Ka Monestry"/>
    <s v="Momauk"/>
    <n v="0"/>
    <n v="0"/>
    <n v="0"/>
    <n v="0"/>
    <n v="0"/>
    <n v="0"/>
    <n v="0"/>
    <n v="0"/>
    <s v=""/>
    <n v="0"/>
  </r>
  <r>
    <s v="MMR001CMP002"/>
    <x v="3"/>
    <s v="Njang Dung Baptist Church "/>
    <s v="Myitkyina"/>
    <n v="65"/>
    <n v="292"/>
    <n v="0"/>
    <n v="0"/>
    <n v="0"/>
    <n v="130"/>
    <n v="65"/>
    <n v="65"/>
    <s v=""/>
    <n v="0"/>
  </r>
  <r>
    <s v="MMR001CMP162"/>
    <x v="3"/>
    <s v="Pa Dauk Myaing(Pa La Na)"/>
    <s v="Myitkyina"/>
    <n v="49"/>
    <n v="290"/>
    <n v="0"/>
    <n v="0"/>
    <n v="0"/>
    <n v="98"/>
    <n v="49"/>
    <n v="49"/>
    <s v=""/>
    <n v="0"/>
  </r>
  <r>
    <s v="MMR001CMP193"/>
    <x v="3"/>
    <s v="Phan Khar Kone"/>
    <s v="Bhamo"/>
    <n v="153"/>
    <n v="773"/>
    <n v="0"/>
    <n v="0"/>
    <n v="0"/>
    <n v="306"/>
    <n v="153"/>
    <n v="153"/>
    <s v=""/>
    <n v="0"/>
  </r>
  <r>
    <s v="MMR001CMP065"/>
    <x v="3"/>
    <s v="Phar Kay/Nant Waing "/>
    <s v="Momauk"/>
    <n v="39"/>
    <n v="176"/>
    <n v="0"/>
    <n v="0"/>
    <n v="0"/>
    <n v="78"/>
    <n v="39"/>
    <n v="39"/>
    <s v=""/>
    <n v="0"/>
  </r>
  <r>
    <s v="MMR001CMP032"/>
    <x v="3"/>
    <s v="Qtr. 2 Lhaovo Baptist Church"/>
    <s v="Waingmaw"/>
    <n v="111"/>
    <n v="445"/>
    <n v="0"/>
    <n v="0"/>
    <n v="0"/>
    <n v="222"/>
    <n v="111"/>
    <n v="111"/>
    <s v=""/>
    <n v="0"/>
  </r>
  <r>
    <s v="MMR001CMP025"/>
    <x v="3"/>
    <s v="Qtr. 2 Myoma Baptist Church"/>
    <s v="Waingmaw"/>
    <n v="65"/>
    <n v="323"/>
    <n v="0"/>
    <n v="0"/>
    <n v="0"/>
    <n v="130"/>
    <n v="65"/>
    <n v="65"/>
    <s v=""/>
    <n v="0"/>
  </r>
  <r>
    <s v="MMR001CMP030"/>
    <x v="3"/>
    <s v="Qtr. 3 Mu-yin  Baptist Church"/>
    <s v="Waingmaw"/>
    <n v="31"/>
    <n v="171"/>
    <n v="0"/>
    <n v="0"/>
    <n v="0"/>
    <n v="62"/>
    <n v="31"/>
    <n v="31"/>
    <s v=""/>
    <n v="0"/>
  </r>
  <r>
    <s v="MMR001CMP026"/>
    <x v="3"/>
    <s v="Qtr. 4 Monestry (Thargaya Thayett Taw)"/>
    <s v="Waingmaw"/>
    <n v="92"/>
    <n v="493"/>
    <n v="0"/>
    <n v="0"/>
    <n v="0"/>
    <n v="184"/>
    <n v="92"/>
    <n v="92"/>
    <s v=""/>
    <n v="0"/>
  </r>
  <r>
    <s v="MMR001CMP182"/>
    <x v="3"/>
    <s v="Rawan Baptist Church, Maw Shan Vil., Seik Mu"/>
    <s v="Hpakant"/>
    <n v="9"/>
    <n v="37"/>
    <n v="0"/>
    <n v="0"/>
    <n v="0"/>
    <n v="18"/>
    <n v="9"/>
    <n v="9"/>
    <s v=""/>
    <n v="0"/>
  </r>
  <r>
    <s v="MMR001CMP047"/>
    <x v="3"/>
    <s v="Robert Church"/>
    <s v="Bhamo"/>
    <n v="638"/>
    <n v="4050"/>
    <n v="0"/>
    <n v="0"/>
    <n v="0"/>
    <n v="1276"/>
    <n v="638"/>
    <n v="638"/>
    <s v=""/>
    <n v="0"/>
  </r>
  <r>
    <s v="MMR001CMP183"/>
    <x v="3"/>
    <s v="Sai Nai Baptish Church, Maw Shan Vil., Seki Mu"/>
    <s v="Hpakant"/>
    <n v="8"/>
    <n v="36"/>
    <n v="0"/>
    <n v="0"/>
    <n v="0"/>
    <n v="16"/>
    <n v="8"/>
    <n v="8"/>
    <s v=""/>
    <n v="0"/>
  </r>
  <r>
    <s v="MMR001CMP006"/>
    <x v="3"/>
    <s v="Shatapru Sut Ngai Tawng"/>
    <s v="Myitkyina"/>
    <n v="118"/>
    <n v="529"/>
    <n v="0"/>
    <n v="0"/>
    <n v="0"/>
    <n v="236"/>
    <n v="118"/>
    <n v="118"/>
    <s v=""/>
    <n v="0"/>
  </r>
  <r>
    <s v="MMR001CMP007"/>
    <x v="3"/>
    <s v="Shatapru Thida Aye Baptist Church"/>
    <s v="Myitkyina"/>
    <n v="22"/>
    <n v="111"/>
    <n v="0"/>
    <n v="0"/>
    <n v="0"/>
    <n v="44"/>
    <n v="22"/>
    <n v="22"/>
    <s v=""/>
    <n v="0"/>
  </r>
  <r>
    <s v="MMR001CMP067"/>
    <x v="3"/>
    <s v="Shwe Gu Baptist Church"/>
    <s v="Shwegu"/>
    <n v="86"/>
    <n v="314"/>
    <n v="0"/>
    <n v="0"/>
    <n v="0"/>
    <n v="172"/>
    <n v="86"/>
    <n v="86"/>
    <s v=""/>
    <n v="0"/>
  </r>
  <r>
    <s v="MMR001CMP068"/>
    <x v="3"/>
    <s v="Shwe Gu Catholic Church"/>
    <s v="Shwegu"/>
    <n v="43"/>
    <n v="159"/>
    <n v="0"/>
    <n v="0"/>
    <n v="0"/>
    <n v="86"/>
    <n v="43"/>
    <n v="43"/>
    <s v=""/>
    <n v="0"/>
  </r>
  <r>
    <s v="MMR001CMP009"/>
    <x v="3"/>
    <s v="Shwe Zet Baptist Church"/>
    <s v="Myitkyina"/>
    <n v="92"/>
    <n v="499"/>
    <n v="0"/>
    <n v="0"/>
    <n v="0"/>
    <n v="184"/>
    <n v="92"/>
    <n v="92"/>
    <s v=""/>
    <n v="0"/>
  </r>
  <r>
    <s v="MMR001CMP080"/>
    <x v="3"/>
    <s v="St. Patrick Catholic Church "/>
    <s v="Mohnyin"/>
    <n v="11"/>
    <n v="57"/>
    <n v="0"/>
    <n v="0"/>
    <n v="0"/>
    <n v="22"/>
    <n v="11"/>
    <n v="11"/>
    <s v=""/>
    <n v="0"/>
  </r>
  <r>
    <s v="MMR001CMP206"/>
    <x v="3"/>
    <s v="Sumprabum"/>
    <s v="Sumprabum"/>
    <n v="5"/>
    <n v="32"/>
    <n v="0"/>
    <n v="0"/>
    <n v="0"/>
    <n v="10"/>
    <n v="5"/>
    <n v="5"/>
    <s v=""/>
    <n v="0"/>
  </r>
  <r>
    <s v="MMR001CMP055"/>
    <x v="3"/>
    <s v="Ta Gun Taing Monastery (Shwe Kyi Na)"/>
    <s v="Bhamo"/>
    <n v="20"/>
    <n v="95"/>
    <n v="0"/>
    <n v="0"/>
    <n v="0"/>
    <n v="40"/>
    <n v="20"/>
    <n v="20"/>
    <s v=""/>
    <n v="0"/>
  </r>
  <r>
    <s v="MMR001CMP060"/>
    <x v="3"/>
    <s v="Tarli "/>
    <s v="Momauk"/>
    <n v="10"/>
    <n v="38"/>
    <n v="0"/>
    <n v="0"/>
    <n v="0"/>
    <n v="20"/>
    <n v="10"/>
    <n v="10"/>
    <s v=""/>
    <n v="0"/>
  </r>
  <r>
    <s v="MMR001CMP001"/>
    <x v="3"/>
    <s v="Tat Kone Baptist Church"/>
    <s v="Myitkyina"/>
    <n v="66"/>
    <n v="344"/>
    <n v="0"/>
    <n v="0"/>
    <n v="0"/>
    <n v="132"/>
    <n v="66"/>
    <n v="66"/>
    <s v=""/>
    <n v="0"/>
  </r>
  <r>
    <s v="MMR001CMP023"/>
    <x v="3"/>
    <s v="Tat Kone COC Baptist - Tat Kone Htoi San"/>
    <s v="Myitkyina"/>
    <n v="54"/>
    <n v="262"/>
    <n v="0"/>
    <n v="0"/>
    <n v="0"/>
    <n v="108"/>
    <n v="54"/>
    <n v="54"/>
    <s v=""/>
    <n v="0"/>
  </r>
  <r>
    <s v="MMR001CMP004"/>
    <x v="3"/>
    <s v="Tat Kone Emanuel Church"/>
    <s v="Myitkyina"/>
    <n v="4"/>
    <n v="22"/>
    <n v="0"/>
    <n v="0"/>
    <n v="0"/>
    <n v="8"/>
    <n v="4"/>
    <n v="4"/>
    <s v=""/>
    <n v="0"/>
  </r>
  <r>
    <s v="MMR001CMP003"/>
    <x v="3"/>
    <s v="Tat Kone Galile Baptist Church"/>
    <s v="Myitkyina"/>
    <n v="31"/>
    <n v="170"/>
    <n v="0"/>
    <n v="0"/>
    <n v="0"/>
    <n v="62"/>
    <n v="31"/>
    <n v="31"/>
    <s v=""/>
    <n v="0"/>
  </r>
  <r>
    <s v="MMR001CMP005"/>
    <x v="3"/>
    <s v="Tat Kone San Pya Baptist Church"/>
    <s v="Myitkyina"/>
    <n v="46"/>
    <n v="238"/>
    <n v="0"/>
    <n v="0"/>
    <n v="0"/>
    <n v="92"/>
    <n v="46"/>
    <n v="46"/>
    <s v=""/>
    <n v="0"/>
  </r>
  <r>
    <s v="MMR001CMP037"/>
    <x v="3"/>
    <s v="Thargaya Lisu Baptist Church"/>
    <s v="Waingmaw"/>
    <n v="46"/>
    <n v="190"/>
    <n v="0"/>
    <n v="0"/>
    <n v="0"/>
    <n v="92"/>
    <n v="46"/>
    <n v="46"/>
    <s v=""/>
    <n v="0"/>
  </r>
  <r>
    <s v="MMR001CMP224"/>
    <x v="3"/>
    <s v="Tharthana Ahlin Yaung New Monastery"/>
    <s v="Bhamo"/>
    <n v="0"/>
    <n v="0"/>
    <n v="0"/>
    <n v="0"/>
    <n v="0"/>
    <n v="0"/>
    <n v="0"/>
    <n v="0"/>
    <s v=""/>
    <n v="0"/>
  </r>
  <r>
    <s v="MMR001CMP038"/>
    <x v="3"/>
    <s v="Waingmaw AG Church"/>
    <s v="Waingmaw"/>
    <n v="65"/>
    <n v="275"/>
    <n v="0"/>
    <n v="0"/>
    <n v="0"/>
    <n v="130"/>
    <n v="65"/>
    <n v="65"/>
    <s v=""/>
    <n v="0"/>
  </r>
  <r>
    <s v="MMR001CMP036"/>
    <x v="3"/>
    <s v="Waingmaw Baptist Zonal Office"/>
    <s v="Waingmaw"/>
    <n v="0"/>
    <n v="0"/>
    <n v="0"/>
    <n v="0"/>
    <n v="0"/>
    <n v="0"/>
    <n v="0"/>
    <n v="0"/>
    <s v=""/>
    <n v="0"/>
  </r>
  <r>
    <s v="MMR001CMP184"/>
    <x v="3"/>
    <s v="Ward 2 Sai Taung Baptist Church, Seik Mu "/>
    <s v="Hpakant"/>
    <n v="33"/>
    <n v="171"/>
    <n v="0"/>
    <n v="0"/>
    <n v="0"/>
    <n v="66"/>
    <n v="33"/>
    <n v="33"/>
    <s v=""/>
    <n v="0"/>
  </r>
  <r>
    <s v="MMR001CMP116"/>
    <x v="3"/>
    <s v="Woi Chyai "/>
    <s v="Waingmaw"/>
    <n v="1396"/>
    <n v="6821"/>
    <n v="0"/>
    <n v="0"/>
    <n v="0"/>
    <n v="2792"/>
    <n v="1396"/>
    <n v="1396"/>
    <s v=""/>
    <n v="0"/>
  </r>
  <r>
    <s v="MMR001CMP022"/>
    <x v="3"/>
    <s v="Wun Tho Buddhist Monastery"/>
    <s v="Myitkyina"/>
    <n v="7"/>
    <n v="37"/>
    <n v="0"/>
    <n v="0"/>
    <n v="0"/>
    <n v="14"/>
    <n v="7"/>
    <n v="7"/>
    <s v=""/>
    <n v="0"/>
  </r>
  <r>
    <s v="MMR001CMP053"/>
    <x v="3"/>
    <s v="Yoe Kyi Monastery"/>
    <s v="Bhamo"/>
    <n v="15"/>
    <n v="79"/>
    <n v="0"/>
    <n v="0"/>
    <n v="0"/>
    <n v="30"/>
    <n v="15"/>
    <n v="15"/>
    <s v=""/>
    <n v="0"/>
  </r>
  <r>
    <s v="MMR001CMP105"/>
    <x v="3"/>
    <s v="Yumar Baptist Church"/>
    <s v="Hpakant"/>
    <n v="11"/>
    <n v="48"/>
    <n v="0"/>
    <n v="0"/>
    <n v="0"/>
    <n v="22"/>
    <n v="11"/>
    <n v="11"/>
    <s v=""/>
    <n v="0"/>
  </r>
</pivotCacheRecords>
</file>

<file path=xl/pivotCache/pivotCacheRecords3.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4.xml><?xml version="1.0" encoding="utf-8"?>
<pivotCacheRecords xmlns="http://schemas.openxmlformats.org/spreadsheetml/2006/main" xmlns:r="http://schemas.openxmlformats.org/officeDocument/2006/relationships" count="286">
  <r>
    <x v="0"/>
    <x v="0"/>
    <s v="MMR001"/>
    <s v="Myitkyina"/>
    <s v="MMR001D001"/>
    <x v="0"/>
    <s v="MMR001001"/>
    <s v="Myitkyina Town"/>
    <s v="MMR001001701"/>
    <s v="Tat Kone Ward"/>
    <s v="MMR001001701520"/>
    <x v="0"/>
    <x v="0"/>
    <x v="0"/>
    <n v="25.415482000000001"/>
    <n v="0"/>
    <n v="69"/>
    <n v="366"/>
    <n v="5.3043478260869561"/>
    <x v="0"/>
    <x v="0"/>
    <s v="Camp"/>
    <x v="0"/>
    <x v="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7"/>
    <n v="4.4328358208955221"/>
    <x v="0"/>
    <x v="0"/>
    <s v="Camp"/>
    <x v="0"/>
    <x v="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0"/>
    <n v="170"/>
    <n v="5.666666666666667"/>
    <x v="0"/>
    <x v="0"/>
    <s v="Camp"/>
    <x v="0"/>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yitkyina"/>
    <s v="MMR001D001"/>
    <x v="0"/>
    <s v="MMR001001"/>
    <s v="Myitkyina Town"/>
    <s v="MMR001001701"/>
    <s v="Tat Kone Ward"/>
    <s v="MMR001001701520"/>
    <x v="3"/>
    <x v="3"/>
    <x v="3"/>
    <n v="25.417733999999999"/>
    <n v="0"/>
    <n v="6"/>
    <n v="31"/>
    <n v="5.166666666666667"/>
    <x v="0"/>
    <x v="0"/>
    <s v="Camp"/>
    <x v="0"/>
    <x v="2"/>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39"/>
    <n v="5.1956521739130439"/>
    <x v="0"/>
    <x v="0"/>
    <s v="Camp"/>
    <x v="0"/>
    <x v="3"/>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1"/>
    <n v="556"/>
    <n v="4.5950413223140494"/>
    <x v="0"/>
    <x v="0"/>
    <s v="Camp"/>
    <x v="0"/>
    <x v="2"/>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4"/>
    <n v="4.9565217391304346"/>
    <x v="0"/>
    <x v="0"/>
    <s v="Camp"/>
    <x v="0"/>
    <x v="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1"/>
    <n v="5.6407766990291259"/>
    <x v="0"/>
    <x v="0"/>
    <s v="Camp"/>
    <x v="0"/>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01"/>
    <n v="5.5054945054945055"/>
    <x v="0"/>
    <x v="0"/>
    <s v="Camp"/>
    <x v="0"/>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6"/>
    <n v="4.4285714285714288"/>
    <x v="0"/>
    <x v="0"/>
    <s v="Camp"/>
    <x v="0"/>
    <x v="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3"/>
    <n v="196"/>
    <n v="4.558139534883721"/>
    <x v="0"/>
    <x v="0"/>
    <s v="Camp"/>
    <x v="0"/>
    <x v="4"/>
    <x v="0"/>
    <s v="IP"/>
    <d v="2017-09-30T00:00:00"/>
    <m/>
    <s v="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07"/>
    <n v="5.0863309352517989"/>
    <x v="0"/>
    <x v="0"/>
    <s v="Camp"/>
    <x v="0"/>
    <x v="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5"/>
    <n v="577"/>
    <n v="5.4952380952380953"/>
    <x v="0"/>
    <x v="0"/>
    <s v="Camp"/>
    <x v="0"/>
    <x v="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Maliyang Ward"/>
    <m/>
    <x v="13"/>
    <x v="13"/>
    <x v="13"/>
    <n v="25.360463124999999"/>
    <n v="0"/>
    <n v="75"/>
    <n v="395"/>
    <n v="5.2666666666666666"/>
    <x v="0"/>
    <x v="0"/>
    <s v="Camp"/>
    <x v="0"/>
    <x v="2"/>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ohnyin"/>
    <s v="MMR001D002"/>
    <x v="1"/>
    <s v="MMR001009"/>
    <s v="Lone Khin"/>
    <s v="MMR001009001"/>
    <s v="Lone Khin"/>
    <n v="166773"/>
    <x v="14"/>
    <x v="14"/>
    <x v="14"/>
    <n v="25.658650000000002"/>
    <m/>
    <n v="0"/>
    <n v="0"/>
    <s v="NA"/>
    <x v="0"/>
    <x v="0"/>
    <s v="Camp"/>
    <x v="1"/>
    <x v="6"/>
    <x v="2"/>
    <m/>
    <m/>
    <m/>
    <s v=" "/>
    <s v=""/>
    <s v=""/>
    <s v=""/>
  </r>
  <r>
    <x v="0"/>
    <x v="0"/>
    <s v="MMR001"/>
    <s v="Myitkyina"/>
    <s v="MMR001D001"/>
    <x v="0"/>
    <s v="MMR001001"/>
    <s v="Myitkyina Town"/>
    <s v="MMR001001701"/>
    <s v="Jan Mai Kawng"/>
    <m/>
    <x v="15"/>
    <x v="15"/>
    <x v="15"/>
    <n v="25.403476999999999"/>
    <n v="0"/>
    <n v="199"/>
    <n v="1114"/>
    <n v="5.5979899497487438"/>
    <x v="0"/>
    <x v="0"/>
    <s v="Camp"/>
    <x v="0"/>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88"/>
    <n v="427"/>
    <n v="4.8522727272727275"/>
    <x v="0"/>
    <x v="0"/>
    <s v="Camp"/>
    <x v="0"/>
    <x v="1"/>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4"/>
    <n v="97"/>
    <n v="4.041666666666667"/>
    <x v="0"/>
    <x v="0"/>
    <s v="Camp"/>
    <x v="2"/>
    <x v="3"/>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14"/>
    <n v="75"/>
    <n v="5.3571428571428568"/>
    <x v="0"/>
    <x v="0"/>
    <s v="Camp"/>
    <x v="2"/>
    <x v="3"/>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s v="Camp"/>
    <x v="0"/>
    <x v="7"/>
    <x v="1"/>
    <s v="IP"/>
    <d v="2017-06-29T00:00:00"/>
    <m/>
    <s v="Closed july 2017"/>
    <s v="Myitkyina Town"/>
    <n v="1.7877148351104664"/>
    <n v="1"/>
  </r>
  <r>
    <x v="0"/>
    <x v="0"/>
    <m/>
    <s v="Myitkyina"/>
    <m/>
    <x v="0"/>
    <m/>
    <s v="Myitkyina Town"/>
    <m/>
    <s v="Ka Bu Dam"/>
    <m/>
    <x v="20"/>
    <x v="20"/>
    <x v="20"/>
    <m/>
    <m/>
    <n v="23"/>
    <n v="54"/>
    <n v="2.347826086956522"/>
    <x v="0"/>
    <x v="0"/>
    <s v="Camp like setting"/>
    <x v="0"/>
    <x v="8"/>
    <x v="4"/>
    <s v="IP"/>
    <m/>
    <m/>
    <s v="New displacement from Tingkawk"/>
    <s v="Myitkyina Town"/>
    <s v=""/>
    <s v=""/>
  </r>
  <r>
    <x v="0"/>
    <x v="0"/>
    <s v="MMR001"/>
    <s v="Myitkyina"/>
    <s v="MMR001D001"/>
    <x v="0"/>
    <s v="MMR001001"/>
    <s v="Myitkyina Town"/>
    <s v="MMR001001701"/>
    <s v="Tat Kone Ward"/>
    <s v="MMR001001701520"/>
    <x v="21"/>
    <x v="21"/>
    <x v="21"/>
    <n v="25.423209"/>
    <n v="0"/>
    <n v="54"/>
    <n v="264"/>
    <n v="4.8888888888888893"/>
    <x v="0"/>
    <x v="0"/>
    <s v="Camp"/>
    <x v="0"/>
    <x v="7"/>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m/>
    <s v="Myitkyina"/>
    <m/>
    <x v="0"/>
    <m/>
    <s v="Myitkyina Town"/>
    <m/>
    <s v="Pa Ma Tee"/>
    <m/>
    <x v="22"/>
    <x v="20"/>
    <x v="20"/>
    <m/>
    <m/>
    <n v="25"/>
    <n v="69"/>
    <n v="2.76"/>
    <x v="0"/>
    <x v="0"/>
    <s v="Camp like setting"/>
    <x v="0"/>
    <x v="9"/>
    <x v="4"/>
    <s v="IP"/>
    <s v="31-08-17"/>
    <m/>
    <s v="New displacement from Ka Sung"/>
    <s v="Myitkyina Town"/>
    <s v=""/>
    <s v=""/>
  </r>
  <r>
    <x v="0"/>
    <x v="0"/>
    <s v="MMR001"/>
    <s v="Myitkyina"/>
    <s v="MMR001D001"/>
    <x v="0"/>
    <s v="MMR001001"/>
    <s v="Nam Koi"/>
    <s v="MMR001001005"/>
    <s v="Nam Koi"/>
    <n v="165695"/>
    <x v="23"/>
    <x v="22"/>
    <x v="22"/>
    <n v="25.410569299999999"/>
    <m/>
    <n v="63"/>
    <n v="310"/>
    <n v="4.9206349206349209"/>
    <x v="0"/>
    <x v="0"/>
    <s v="Camp"/>
    <x v="0"/>
    <x v="4"/>
    <x v="3"/>
    <s v="IP"/>
    <d v="2017-09-30T00:00:00"/>
    <m/>
    <s v="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2"/>
    <s v="MMR001002"/>
    <s v="Waingmaw Town"/>
    <s v="MMR001002701"/>
    <s v="No (2) Ward"/>
    <s v="MMR001002701502"/>
    <x v="24"/>
    <x v="23"/>
    <x v="23"/>
    <n v="25.351724999999998"/>
    <n v="0"/>
    <n v="64"/>
    <n v="323"/>
    <n v="5.046875"/>
    <x v="0"/>
    <x v="0"/>
    <s v="Camp"/>
    <x v="0"/>
    <x v="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2"/>
    <s v="MMR001002"/>
    <s v="Waingmaw Town"/>
    <s v="MMR001002701"/>
    <s v="No (4) Ward"/>
    <s v="MMR001002701504"/>
    <x v="25"/>
    <x v="24"/>
    <x v="24"/>
    <n v="25.350809000000002"/>
    <n v="0"/>
    <n v="90"/>
    <n v="491"/>
    <n v="5.4555555555555557"/>
    <x v="0"/>
    <x v="0"/>
    <s v="Camp"/>
    <x v="0"/>
    <x v="1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2"/>
    <s v="MMR001002"/>
    <s v="Mading"/>
    <s v="MMR001002001"/>
    <s v="Mading/Hka Kun"/>
    <n v="165730"/>
    <x v="26"/>
    <x v="25"/>
    <x v="25"/>
    <n v="25.356632000000001"/>
    <n v="0"/>
    <n v="30"/>
    <n v="165"/>
    <n v="5.5"/>
    <x v="0"/>
    <x v="0"/>
    <s v="Camp"/>
    <x v="0"/>
    <x v="1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2"/>
    <s v="MMR001002"/>
    <s v="Hkat Shu"/>
    <s v="MMR001002003"/>
    <s v="Hkat Shu"/>
    <n v="165735"/>
    <x v="27"/>
    <x v="26"/>
    <x v="26"/>
    <n v="25.321710740740698"/>
    <n v="0"/>
    <n v="103"/>
    <n v="503"/>
    <n v="4.883495145631068"/>
    <x v="0"/>
    <x v="0"/>
    <s v="Camp"/>
    <x v="2"/>
    <x v="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2"/>
    <s v="MMR001002"/>
    <s v="Mai Na"/>
    <s v="MMR001002006"/>
    <s v="Mai Na"/>
    <n v="165740"/>
    <x v="28"/>
    <x v="27"/>
    <x v="27"/>
    <n v="25.415667500000001"/>
    <m/>
    <n v="282"/>
    <n v="1478"/>
    <n v="5.2411347517730498"/>
    <x v="0"/>
    <x v="0"/>
    <s v="Camp"/>
    <x v="0"/>
    <x v="12"/>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2"/>
    <s v="MMR001002"/>
    <s v="Waingmaw Town"/>
    <s v="MMR001002701"/>
    <s v="No (3) Ward"/>
    <s v="MMR001002701503"/>
    <x v="29"/>
    <x v="28"/>
    <x v="28"/>
    <n v="25.345918166666699"/>
    <m/>
    <n v="29"/>
    <n v="160"/>
    <n v="5.5172413793103452"/>
    <x v="0"/>
    <x v="0"/>
    <s v="Camp"/>
    <x v="0"/>
    <x v="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2"/>
    <s v="MMR001002"/>
    <s v="Mai Na"/>
    <s v="MMR001002006"/>
    <s v="Mai Na"/>
    <n v="165740"/>
    <x v="30"/>
    <x v="29"/>
    <x v="29"/>
    <n v="25.424529444444399"/>
    <n v="0"/>
    <n v="333"/>
    <n v="1800"/>
    <n v="5.4054054054054053"/>
    <x v="0"/>
    <x v="0"/>
    <s v="Camp"/>
    <x v="2"/>
    <x v="13"/>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2"/>
    <s v="MMR001002"/>
    <s v="Waingmaw Town"/>
    <s v="MMR001002701"/>
    <s v="No (2) Ward"/>
    <s v="MMR001002701502"/>
    <x v="31"/>
    <x v="30"/>
    <x v="30"/>
    <n v="25.3540362037037"/>
    <n v="0"/>
    <n v="115"/>
    <n v="460"/>
    <n v="4"/>
    <x v="0"/>
    <x v="0"/>
    <s v="Camp"/>
    <x v="0"/>
    <x v="1"/>
    <x v="1"/>
    <s v="IP"/>
    <d v="2017-09-30T00:00:00"/>
    <m/>
    <s v="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2"/>
    <s v="MMR001002"/>
    <s v="Ma Hkan Tee"/>
    <s v="MMR001002009"/>
    <s v="Nawng Hee"/>
    <n v="165745"/>
    <x v="32"/>
    <x v="31"/>
    <x v="31"/>
    <n v="25.351965"/>
    <m/>
    <n v="20"/>
    <n v="86"/>
    <n v="4.3"/>
    <x v="0"/>
    <x v="0"/>
    <s v="Camp"/>
    <x v="2"/>
    <x v="11"/>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ohnyin"/>
    <s v="MMR001D002"/>
    <x v="1"/>
    <s v="MMR001009"/>
    <s v="Wa Ra Zut"/>
    <s v="MMR001009009"/>
    <s v="Shar Du Zut"/>
    <n v="166819"/>
    <x v="33"/>
    <x v="32"/>
    <x v="32"/>
    <n v="25.920006000000001"/>
    <m/>
    <m/>
    <m/>
    <s v="NA"/>
    <x v="0"/>
    <x v="0"/>
    <s v="Camp"/>
    <x v="2"/>
    <x v="14"/>
    <x v="2"/>
    <s v="IP"/>
    <d v="2017-04-24T00:00:00"/>
    <m/>
    <s v="24/Apr/2017: Changed camp status as &quot;closed&quot;. Data source: KMSS_Myitkyina and CCCM unit._x000a_16/Sep/2016: New added camp. There no responsible organization."/>
    <s v="Hpakant Town"/>
    <n v="0"/>
    <n v="1"/>
  </r>
  <r>
    <x v="1"/>
    <x v="0"/>
    <s v="MMR001"/>
    <s v="Mohnyin"/>
    <s v="MMR001D002"/>
    <x v="1"/>
    <s v="MMR001009"/>
    <s v="Lone Khin"/>
    <s v="MMR001009001"/>
    <s v="Hmaw Si Zar"/>
    <n v="166775"/>
    <x v="34"/>
    <x v="33"/>
    <x v="20"/>
    <m/>
    <m/>
    <m/>
    <m/>
    <s v="NA"/>
    <x v="0"/>
    <x v="0"/>
    <s v="Camp"/>
    <x v="1"/>
    <x v="6"/>
    <x v="2"/>
    <m/>
    <m/>
    <m/>
    <s v=" "/>
    <s v=""/>
    <s v=""/>
    <s v=""/>
  </r>
  <r>
    <x v="0"/>
    <x v="1"/>
    <s v="MMR015"/>
    <s v="Muse"/>
    <s v="MMR015D002"/>
    <x v="3"/>
    <s v="MMR015010"/>
    <s v="Nawng Hkam"/>
    <s v="MMR015010010"/>
    <s v="Nawng Hkam"/>
    <n v="208353"/>
    <x v="35"/>
    <x v="34"/>
    <x v="33"/>
    <n v="23.828520000000001"/>
    <n v="740"/>
    <n v="66"/>
    <n v="350"/>
    <n v="5.3030303030303028"/>
    <x v="0"/>
    <x v="0"/>
    <s v="Camp"/>
    <x v="0"/>
    <x v="1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2"/>
    <s v="MMR001002"/>
    <s v="Waingmaw Town"/>
    <s v="MMR001002701"/>
    <s v="No (4) Ward"/>
    <s v="MMR001002701504"/>
    <x v="36"/>
    <x v="35"/>
    <x v="34"/>
    <n v="25.333683333333301"/>
    <m/>
    <n v="46"/>
    <n v="190"/>
    <n v="4.1304347826086953"/>
    <x v="0"/>
    <x v="0"/>
    <s v="Camp"/>
    <x v="0"/>
    <x v="16"/>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2"/>
    <s v="MMR001002"/>
    <s v="Waingmaw Town"/>
    <s v="MMR001002701"/>
    <s v="No (3) Ward"/>
    <s v="MMR001002701503"/>
    <x v="37"/>
    <x v="36"/>
    <x v="35"/>
    <n v="25.351250396825399"/>
    <n v="476"/>
    <n v="69"/>
    <n v="286"/>
    <n v="4.1449275362318838"/>
    <x v="0"/>
    <x v="0"/>
    <s v="Camp"/>
    <x v="0"/>
    <x v="16"/>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2"/>
    <s v="Mai Na"/>
    <s v="MMR001002006"/>
    <s v="Mai Na"/>
    <n v="165740"/>
    <x v="38"/>
    <x v="37"/>
    <x v="36"/>
    <n v="25.409612685185198"/>
    <n v="0"/>
    <n v="46"/>
    <n v="193"/>
    <n v="4.1956521739130439"/>
    <x v="0"/>
    <x v="0"/>
    <s v="Camp"/>
    <x v="0"/>
    <x v="1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2"/>
    <s v="MMR001002"/>
    <s v="Mai Na"/>
    <s v="MMR001002006"/>
    <s v="Mai Na"/>
    <n v="165740"/>
    <x v="39"/>
    <x v="38"/>
    <x v="37"/>
    <n v="25.4118005797101"/>
    <n v="0"/>
    <n v="499"/>
    <n v="2543"/>
    <n v="5.0961923847695392"/>
    <x v="0"/>
    <x v="0"/>
    <s v="Camp"/>
    <x v="2"/>
    <x v="17"/>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2"/>
    <s v="MMR001002"/>
    <s v="Waw Shung (Kan Paik Ti Sub-township)"/>
    <s v="MMR001002035"/>
    <s v="Shan Kyaing"/>
    <n v="165845"/>
    <x v="40"/>
    <x v="39"/>
    <x v="38"/>
    <n v="25.418084"/>
    <m/>
    <n v="182"/>
    <n v="969"/>
    <n v="5.3241758241758239"/>
    <x v="0"/>
    <x v="0"/>
    <s v="Camp"/>
    <x v="2"/>
    <x v="16"/>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4"/>
    <s v="MMR001005"/>
    <s v="Chipwi Town"/>
    <s v="MMR001005701"/>
    <s v="Ba Leit Dan Ward"/>
    <s v="MMR001005701503"/>
    <x v="41"/>
    <x v="40"/>
    <x v="39"/>
    <n v="25.889410000000002"/>
    <n v="304"/>
    <n v="108"/>
    <n v="516"/>
    <n v="4.7777777777777777"/>
    <x v="0"/>
    <x v="0"/>
    <s v="Camp"/>
    <x v="0"/>
    <x v="18"/>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4"/>
    <s v="MMR001005"/>
    <s v="Hpa Re (Pang War Sub-township)"/>
    <s v="MMR001005026"/>
    <s v="Hpa Re Waw Jang"/>
    <n v="166355"/>
    <x v="42"/>
    <x v="41"/>
    <x v="40"/>
    <n v="25.754110000000001"/>
    <n v="2785"/>
    <n v="158"/>
    <n v="981"/>
    <n v="6.2088607594936711"/>
    <x v="1"/>
    <x v="0"/>
    <s v="Camp"/>
    <x v="3"/>
    <x v="1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ohnyin"/>
    <s v="MMR001D002"/>
    <x v="1"/>
    <s v="MMR001009"/>
    <s v="Lone Khin"/>
    <s v="MMR001009001"/>
    <s v="Ku Day"/>
    <n v="216877"/>
    <x v="43"/>
    <x v="42"/>
    <x v="41"/>
    <n v="25.655989999999999"/>
    <m/>
    <m/>
    <m/>
    <s v="NA"/>
    <x v="0"/>
    <x v="0"/>
    <s v="Camp"/>
    <x v="1"/>
    <x v="6"/>
    <x v="2"/>
    <m/>
    <m/>
    <m/>
    <s v=" "/>
    <s v=""/>
    <s v=""/>
    <s v=""/>
  </r>
  <r>
    <x v="1"/>
    <x v="0"/>
    <s v="MMR001"/>
    <s v="Myitkyina"/>
    <s v="MMR001D001"/>
    <x v="4"/>
    <s v="MMR001005"/>
    <s v="Lang Jaw (Pang War Sub-township)"/>
    <s v="MMR001005022"/>
    <s v="Lang Jaw"/>
    <n v="166337"/>
    <x v="44"/>
    <x v="43"/>
    <x v="42"/>
    <n v="25.708763000000001"/>
    <m/>
    <m/>
    <m/>
    <s v="NA"/>
    <x v="0"/>
    <x v="0"/>
    <s v="Host Families"/>
    <x v="2"/>
    <x v="6"/>
    <x v="2"/>
    <s v="IP"/>
    <d v="2017-07-11T00:00:00"/>
    <m/>
    <s v="11/Jul/2017: Change status to Close as no update available since December 2016"/>
    <s v="Pang War Town"/>
    <n v="12.486065224161463"/>
    <n v="3"/>
  </r>
  <r>
    <x v="1"/>
    <x v="0"/>
    <s v="MMR001"/>
    <s v="Mohnyin"/>
    <s v="MMR001D002"/>
    <x v="1"/>
    <s v="MMR001009"/>
    <s v="Hpakan Town"/>
    <s v="MMR001009701"/>
    <s v="Aye Mya Thar Yar Ward"/>
    <s v="MMR001009701504"/>
    <x v="45"/>
    <x v="44"/>
    <x v="20"/>
    <m/>
    <m/>
    <m/>
    <m/>
    <s v="NA"/>
    <x v="0"/>
    <x v="0"/>
    <s v="Camp"/>
    <x v="1"/>
    <x v="6"/>
    <x v="2"/>
    <m/>
    <m/>
    <m/>
    <s v=" "/>
    <s v=""/>
    <s v=""/>
    <s v=""/>
  </r>
  <r>
    <x v="0"/>
    <x v="0"/>
    <s v="MMR001"/>
    <s v="Bhamo"/>
    <s v="MMR001D003"/>
    <x v="5"/>
    <s v="MMR001010"/>
    <s v="Bhamo Town"/>
    <s v="MMR001010701"/>
    <s v="Nyaung Pin Ward"/>
    <s v="MMR001010701508"/>
    <x v="46"/>
    <x v="45"/>
    <x v="43"/>
    <n v="24.268292826086999"/>
    <m/>
    <n v="638"/>
    <n v="3971"/>
    <n v="6.2241379310344831"/>
    <x v="0"/>
    <x v="0"/>
    <s v="Camp"/>
    <x v="0"/>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Bhamo"/>
    <s v="MMR001D003"/>
    <x v="5"/>
    <s v="MMR001010"/>
    <s v="Moe Hping"/>
    <s v="MMR001010009"/>
    <s v="Moe Hping"/>
    <n v="166836"/>
    <x v="47"/>
    <x v="46"/>
    <x v="44"/>
    <n v="24.2631743589744"/>
    <n v="0"/>
    <n v="129"/>
    <n v="740"/>
    <n v="5.7364341085271322"/>
    <x v="0"/>
    <x v="0"/>
    <s v="Camp"/>
    <x v="0"/>
    <x v="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5"/>
    <s v="MMR001010"/>
    <s v="Moe Hping"/>
    <s v="MMR001010009"/>
    <s v="Moe Hping"/>
    <n v="166836"/>
    <x v="48"/>
    <x v="47"/>
    <x v="45"/>
    <n v="24.260719999999999"/>
    <m/>
    <n v="257"/>
    <n v="1266"/>
    <n v="4.9260700389105061"/>
    <x v="0"/>
    <x v="0"/>
    <s v="Camp"/>
    <x v="0"/>
    <x v="16"/>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5"/>
    <s v="MMR001010"/>
    <s v="Bhamo Town"/>
    <s v="MMR001010701"/>
    <s v="Pauk Kone Ward"/>
    <s v="MMR001010701506"/>
    <x v="49"/>
    <x v="48"/>
    <x v="46"/>
    <n v="24.253067000000001"/>
    <n v="0"/>
    <n v="13"/>
    <n v="58"/>
    <n v="4.4615384615384617"/>
    <x v="0"/>
    <x v="0"/>
    <s v="Camp"/>
    <x v="0"/>
    <x v="19"/>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5"/>
    <s v="MMR001010"/>
    <s v="Bhamo Town"/>
    <s v="MMR001010701"/>
    <s v="Pauk Kone Ward"/>
    <s v="MMR001010701506"/>
    <x v="50"/>
    <x v="49"/>
    <x v="47"/>
    <n v="24.24766"/>
    <n v="0"/>
    <n v="39"/>
    <n v="225"/>
    <n v="5.7692307692307692"/>
    <x v="0"/>
    <x v="0"/>
    <s v="Camp"/>
    <x v="0"/>
    <x v="1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5"/>
    <s v="MMR001010"/>
    <s v="Han Te"/>
    <s v="MMR001010024"/>
    <s v="Han Te"/>
    <n v="166851"/>
    <x v="51"/>
    <x v="50"/>
    <x v="48"/>
    <n v="24.24953"/>
    <n v="0"/>
    <n v="14"/>
    <n v="74"/>
    <n v="5.2857142857142856"/>
    <x v="0"/>
    <x v="0"/>
    <s v="Camp"/>
    <x v="0"/>
    <x v="2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5"/>
    <s v="MMR001010"/>
    <s v="Nam Hlaing"/>
    <s v="MMR001010015"/>
    <s v="Nam Hlaing"/>
    <n v="166844"/>
    <x v="52"/>
    <x v="51"/>
    <x v="49"/>
    <n v="24.32638"/>
    <m/>
    <n v="21"/>
    <n v="113"/>
    <n v="5.3809523809523814"/>
    <x v="0"/>
    <x v="0"/>
    <s v="Camp"/>
    <x v="0"/>
    <x v="16"/>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5"/>
    <s v="MMR001010"/>
    <s v="Bhamo Town"/>
    <s v="MMR001010701"/>
    <s v="Shwe Kyee Nar Ward"/>
    <s v="MMR001010701513"/>
    <x v="53"/>
    <x v="52"/>
    <x v="50"/>
    <n v="24.29138"/>
    <n v="0"/>
    <n v="20"/>
    <n v="95"/>
    <n v="4.75"/>
    <x v="0"/>
    <x v="0"/>
    <s v="Camp"/>
    <x v="0"/>
    <x v="11"/>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1"/>
    <x v="1"/>
    <s v="MMR015"/>
    <s v="Muse"/>
    <s v="MMR015D002"/>
    <x v="3"/>
    <s v="MMR015010"/>
    <s v="Nawng Hkam"/>
    <s v="MMR015010010"/>
    <s v="Nawng Hkam"/>
    <n v="208353"/>
    <x v="54"/>
    <x v="53"/>
    <x v="20"/>
    <m/>
    <m/>
    <m/>
    <m/>
    <s v="NA"/>
    <x v="1"/>
    <x v="0"/>
    <s v="Camp"/>
    <x v="1"/>
    <x v="6"/>
    <x v="2"/>
    <s v="IP"/>
    <d v="2014-03-03T00:00:00"/>
    <m/>
    <s v="Closed. Same with (Nam Hkam Catholic Church  St. Thomas II)"/>
    <s v=""/>
    <s v=""/>
    <s v=""/>
  </r>
  <r>
    <x v="0"/>
    <x v="0"/>
    <s v="MMR001"/>
    <s v="Bhamo"/>
    <s v="MMR001D003"/>
    <x v="6"/>
    <s v="MMR001012"/>
    <s v="Momauk Town"/>
    <s v="MMR001012701"/>
    <s v="Ah Lin Kawng Ward"/>
    <s v="MMR001012701502"/>
    <x v="55"/>
    <x v="54"/>
    <x v="51"/>
    <n v="24.250689999999999"/>
    <n v="0"/>
    <n v="387"/>
    <n v="1874"/>
    <n v="4.8423772609819125"/>
    <x v="0"/>
    <x v="0"/>
    <s v="Camp"/>
    <x v="0"/>
    <x v="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1"/>
    <s v="MMR015"/>
    <s v="Muse"/>
    <s v="MMR015D002"/>
    <x v="3"/>
    <s v="MMR015010"/>
    <s v="Nawng Hkam"/>
    <s v="MMR015010010"/>
    <s v="Nawng Hkam"/>
    <n v="208353"/>
    <x v="56"/>
    <x v="55"/>
    <x v="52"/>
    <n v="23.828150000000001"/>
    <n v="751.8"/>
    <n v="44"/>
    <n v="218"/>
    <n v="4.9545454545454541"/>
    <x v="0"/>
    <x v="0"/>
    <s v="Camp"/>
    <x v="0"/>
    <x v="15"/>
    <x v="6"/>
    <s v="IP"/>
    <d v="2017-09-30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7"/>
    <s v="MMR001013"/>
    <m/>
    <m/>
    <m/>
    <m/>
    <x v="57"/>
    <x v="56"/>
    <x v="20"/>
    <m/>
    <m/>
    <n v="0"/>
    <n v="0"/>
    <s v="NA"/>
    <x v="0"/>
    <x v="0"/>
    <s v="Camp"/>
    <x v="1"/>
    <x v="6"/>
    <x v="2"/>
    <s v="IP"/>
    <d v="2014-03-03T00:00:00"/>
    <m/>
    <s v="Closed. Rellocated to Man Win and La Ga Yaung"/>
    <s v=""/>
    <s v=""/>
    <s v=""/>
  </r>
  <r>
    <x v="1"/>
    <x v="0"/>
    <s v="MMR001"/>
    <s v="Bhamo"/>
    <s v="MMR001D003"/>
    <x v="7"/>
    <s v="MMR001013"/>
    <m/>
    <m/>
    <m/>
    <m/>
    <x v="58"/>
    <x v="57"/>
    <x v="20"/>
    <m/>
    <m/>
    <n v="0"/>
    <n v="0"/>
    <s v="NA"/>
    <x v="0"/>
    <x v="0"/>
    <s v="Host Families"/>
    <x v="2"/>
    <x v="6"/>
    <x v="2"/>
    <s v="IP"/>
    <d v="2015-03-27T00:00:00"/>
    <m/>
    <s v="27-Mar-15 (Closed. Source: UNHCR-Bhamo)_x000a_New Camp"/>
    <s v=""/>
    <s v=""/>
    <s v=""/>
  </r>
  <r>
    <x v="1"/>
    <x v="0"/>
    <s v="MMR001"/>
    <s v="Bhamo"/>
    <s v="MMR001D003"/>
    <x v="6"/>
    <s v="MMR001012"/>
    <s v="Tar Li"/>
    <s v="MMR001012021"/>
    <s v="Tar Li"/>
    <n v="167086"/>
    <x v="59"/>
    <x v="58"/>
    <x v="53"/>
    <n v="24.492493"/>
    <m/>
    <m/>
    <m/>
    <s v="NA"/>
    <x v="0"/>
    <x v="0"/>
    <s v="Host Families"/>
    <x v="2"/>
    <x v="6"/>
    <x v="2"/>
    <s v="RRD"/>
    <d v="2017-07-11T00:00:00"/>
    <m/>
    <s v="11/Jul/2017: Change status to Close as no update available since June 2014_x000a_Geo-Info, HH/Pop data was updated from Google Earth."/>
    <s v="Dawthponeyan  Town"/>
    <n v="14.236592976936194"/>
    <n v="3"/>
  </r>
  <r>
    <x v="0"/>
    <x v="0"/>
    <s v="MMR001"/>
    <s v="Bhamo"/>
    <s v="MMR001D003"/>
    <x v="6"/>
    <s v="MMR001012"/>
    <s v="Myo Thit"/>
    <s v="MMR001012010"/>
    <s v="Myo Thit"/>
    <n v="167048"/>
    <x v="60"/>
    <x v="59"/>
    <x v="54"/>
    <n v="24.404876999999999"/>
    <m/>
    <n v="44"/>
    <n v="143"/>
    <n v="3.25"/>
    <x v="0"/>
    <x v="0"/>
    <s v="Host Families"/>
    <x v="2"/>
    <x v="6"/>
    <x v="2"/>
    <s v="RRD"/>
    <d v="2017-04-07T00:00:00"/>
    <m/>
    <s v="7/April/2017: Population update. Data source: WFP_x000a_Geo-Info, HH/Pop data was updated from Google Earth."/>
    <s v="Momauk Town"/>
    <n v="17.689123339899055"/>
    <n v="4"/>
  </r>
  <r>
    <x v="0"/>
    <x v="0"/>
    <s v="MMR001"/>
    <s v="Bhamo"/>
    <s v="MMR001D003"/>
    <x v="6"/>
    <s v="MMR001012"/>
    <s v="Man Pon"/>
    <s v="MMR001012001"/>
    <s v="Man Pon"/>
    <n v="167009"/>
    <x v="61"/>
    <x v="60"/>
    <x v="55"/>
    <n v="24.245100000000001"/>
    <m/>
    <n v="265"/>
    <n v="1181"/>
    <n v="4.4566037735849058"/>
    <x v="0"/>
    <x v="0"/>
    <s v="Camp"/>
    <x v="0"/>
    <x v="11"/>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6"/>
    <s v="MMR001012"/>
    <s v="Man Nawng"/>
    <s v="MMR001012014"/>
    <s v="Man Nawng"/>
    <n v="167063"/>
    <x v="62"/>
    <x v="61"/>
    <x v="56"/>
    <n v="24.410008999999999"/>
    <m/>
    <m/>
    <m/>
    <s v="NA"/>
    <x v="0"/>
    <x v="0"/>
    <s v="Host Families"/>
    <x v="2"/>
    <x v="6"/>
    <x v="2"/>
    <s v="RRD"/>
    <d v="2017-07-11T00:00:00"/>
    <m/>
    <s v="11/Jul/17: Change status to Close as no update available."/>
    <s v="Momauk Town"/>
    <n v="17.282528446236295"/>
    <n v="4"/>
  </r>
  <r>
    <x v="1"/>
    <x v="0"/>
    <s v="MMR001"/>
    <s v="Bhamo"/>
    <s v="MMR001D003"/>
    <x v="6"/>
    <s v="MMR001012"/>
    <s v="Maing Khat"/>
    <s v="MMR001012020"/>
    <s v="Maing Khat"/>
    <n v="167078"/>
    <x v="63"/>
    <x v="62"/>
    <x v="57"/>
    <n v="24.441697000000001"/>
    <m/>
    <m/>
    <m/>
    <s v="NA"/>
    <x v="0"/>
    <x v="0"/>
    <s v="Host Families"/>
    <x v="2"/>
    <x v="6"/>
    <x v="2"/>
    <s v="RRD"/>
    <d v="2017-07-11T00:00:00"/>
    <m/>
    <s v="11/Jul/2017: Change status to Close as no update available since June/2017._x000a_Geo-Info, HH/Pop data was updated from Google Earth."/>
    <s v="Dawthponeyan  Town"/>
    <n v="19.860265975801305"/>
    <n v="4"/>
  </r>
  <r>
    <x v="1"/>
    <x v="0"/>
    <s v="MMR001"/>
    <s v="Bhamo"/>
    <s v="MMR001D003"/>
    <x v="6"/>
    <s v="MMR001012"/>
    <s v="Hpar Kei (Dawthponeyan Sub-township)"/>
    <s v="MMR001012046"/>
    <s v="Hpar Kei"/>
    <n v="167242"/>
    <x v="64"/>
    <x v="63"/>
    <x v="58"/>
    <n v="24.630859999999998"/>
    <m/>
    <m/>
    <m/>
    <s v="NA"/>
    <x v="0"/>
    <x v="0"/>
    <s v="Host Families"/>
    <x v="2"/>
    <x v="6"/>
    <x v="2"/>
    <s v="RRD"/>
    <d v="2017-07-11T00:00:00"/>
    <m/>
    <s v="11/Jul/2017: Change status to Close as no update available since Jan/2017._x000a_Update from OCHA Data (2 Jan 2014)"/>
    <s v="Dawthponeyan  Town"/>
    <n v="3.6887624513681017"/>
    <n v="1"/>
  </r>
  <r>
    <x v="0"/>
    <x v="0"/>
    <s v="MMR001"/>
    <s v="Bhamo"/>
    <s v="MMR001D003"/>
    <x v="7"/>
    <s v="MMR001013"/>
    <s v="Mansi Town"/>
    <s v="MMR001013701"/>
    <s v="Kawng Yar Ward"/>
    <s v="MMR001013701504"/>
    <x v="65"/>
    <x v="64"/>
    <x v="59"/>
    <n v="24.129059999999999"/>
    <n v="0"/>
    <n v="187"/>
    <n v="838"/>
    <n v="4.4812834224598932"/>
    <x v="0"/>
    <x v="0"/>
    <s v="Camp"/>
    <x v="0"/>
    <x v="21"/>
    <x v="0"/>
    <s v="IP"/>
    <d v="2017-09-30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8"/>
    <s v="MMR001011"/>
    <s v="Shwegu Town"/>
    <s v="MMR001011701"/>
    <s v="Shwegu Town"/>
    <s v="MMR001011701504"/>
    <x v="66"/>
    <x v="65"/>
    <x v="60"/>
    <n v="24.200361000000001"/>
    <n v="0"/>
    <n v="86"/>
    <n v="309"/>
    <n v="3.5930232558139537"/>
    <x v="0"/>
    <x v="0"/>
    <s v="Camp"/>
    <x v="0"/>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8"/>
    <s v="MMR001011"/>
    <s v="Shwegu Town"/>
    <s v="MMR001011701"/>
    <s v="Shwegu Town"/>
    <s v="MMR001011701504"/>
    <x v="67"/>
    <x v="66"/>
    <x v="60"/>
    <n v="24.200367"/>
    <m/>
    <n v="46"/>
    <n v="177"/>
    <n v="3.847826086956522"/>
    <x v="0"/>
    <x v="0"/>
    <s v="Camp"/>
    <x v="0"/>
    <x v="1"/>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6"/>
    <s v="MMR001012"/>
    <s v="Lwegel Town"/>
    <s v="MMR001012702"/>
    <s v="Aung Chan Thar Ward"/>
    <s v="MMR001012702503"/>
    <x v="68"/>
    <x v="67"/>
    <x v="61"/>
    <n v="24.205417000000001"/>
    <m/>
    <n v="129"/>
    <n v="640"/>
    <n v="4.9612403100775193"/>
    <x v="0"/>
    <x v="0"/>
    <s v="Camp"/>
    <x v="0"/>
    <x v="16"/>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6"/>
    <s v="MMR001012"/>
    <s v="Lwegel Town"/>
    <s v="MMR001012702"/>
    <s v="Aung Zay Yar Ward"/>
    <s v="MMR001012702505"/>
    <x v="69"/>
    <x v="68"/>
    <x v="62"/>
    <n v="24.200433"/>
    <n v="0"/>
    <n v="199"/>
    <n v="1105"/>
    <n v="5.5527638190954773"/>
    <x v="0"/>
    <x v="0"/>
    <s v="Camp"/>
    <x v="0"/>
    <x v="7"/>
    <x v="0"/>
    <s v="IP"/>
    <d v="2017-09-30T00:00:00"/>
    <m/>
    <s v="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6"/>
    <s v="MMR001012"/>
    <s v="Lwegel Town"/>
    <s v="MMR001012702"/>
    <s v="Aung Chan Thar Ward"/>
    <s v="MMR001012702503"/>
    <x v="70"/>
    <x v="69"/>
    <x v="63"/>
    <n v="24.200972"/>
    <m/>
    <n v="40"/>
    <n v="241"/>
    <n v="6.0250000000000004"/>
    <x v="0"/>
    <x v="0"/>
    <s v="Camp"/>
    <x v="0"/>
    <x v="1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6"/>
    <s v="MMR001012"/>
    <s v="Lwegel Town"/>
    <s v="MMR001012039"/>
    <s v="Aung Zay Yar Ward"/>
    <s v="MMR001012702505"/>
    <x v="71"/>
    <x v="70"/>
    <x v="64"/>
    <n v="24.205417000000001"/>
    <n v="0"/>
    <n v="49"/>
    <n v="300"/>
    <n v="6.1224489795918364"/>
    <x v="0"/>
    <x v="0"/>
    <s v="Camp"/>
    <x v="0"/>
    <x v="2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6"/>
    <s v="MMR001012"/>
    <s v="Lwegel Town"/>
    <s v="MMR001012702"/>
    <s v="Saing Gyar Ward"/>
    <s v="MMR001012702506"/>
    <x v="72"/>
    <x v="71"/>
    <x v="65"/>
    <n v="24.207332999999998"/>
    <n v="0"/>
    <n v="41"/>
    <n v="245"/>
    <n v="5.975609756097561"/>
    <x v="0"/>
    <x v="0"/>
    <s v="Camp"/>
    <x v="0"/>
    <x v="2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Bhamo"/>
    <s v="MMR001D003"/>
    <x v="7"/>
    <s v="MMR001013"/>
    <m/>
    <m/>
    <m/>
    <m/>
    <x v="73"/>
    <x v="72"/>
    <x v="20"/>
    <m/>
    <m/>
    <n v="0"/>
    <n v="0"/>
    <s v="NA"/>
    <x v="0"/>
    <x v="0"/>
    <s v="Camp"/>
    <x v="1"/>
    <x v="6"/>
    <x v="2"/>
    <s v="IP"/>
    <d v="2014-03-03T00:00:00"/>
    <m/>
    <s v="Closed. Rellocated to Man Win and La Ga Yaung"/>
    <s v=""/>
    <s v=""/>
    <s v=""/>
  </r>
  <r>
    <x v="0"/>
    <x v="0"/>
    <s v="MMR001"/>
    <s v="Puta-O"/>
    <s v="MMR001D004"/>
    <x v="9"/>
    <s v="MMR001014"/>
    <s v="Puta-O Town"/>
    <s v="MMR001014701"/>
    <s v="Doke Tan Ward"/>
    <s v="MMR001014701509"/>
    <x v="74"/>
    <x v="73"/>
    <x v="66"/>
    <n v="27.311699999999998"/>
    <n v="476.7"/>
    <n v="14"/>
    <n v="75"/>
    <n v="5.3571428571428568"/>
    <x v="0"/>
    <x v="0"/>
    <s v="Host Families"/>
    <x v="2"/>
    <x v="6"/>
    <x v="2"/>
    <s v="IP"/>
    <d v="2017-05-19T00:00:00"/>
    <m/>
    <s v="19/May/2017: Population update. Data source: Shelter Associate (UNHCR)_x000a_Changed Camp to Host Families. Source: Camp Profile Questionnaire."/>
    <s v="Puta-O Town"/>
    <n v="1.3759254000531889"/>
    <n v="1"/>
  </r>
  <r>
    <x v="0"/>
    <x v="0"/>
    <s v="MMR001"/>
    <s v="Mohnyin"/>
    <s v="MMR001D002"/>
    <x v="10"/>
    <s v="MMR001008"/>
    <s v="Nawng Kaing Htaw"/>
    <s v="MMR001008002"/>
    <s v="Ma Haung"/>
    <n v="166676"/>
    <x v="75"/>
    <x v="74"/>
    <x v="67"/>
    <n v="25.296579999999999"/>
    <n v="0"/>
    <n v="16"/>
    <n v="79"/>
    <n v="4.9375"/>
    <x v="0"/>
    <x v="0"/>
    <s v="Camp"/>
    <x v="0"/>
    <x v="1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10"/>
    <s v="MMR001008"/>
    <s v="Mogaung Town"/>
    <s v="MMR001008701"/>
    <s v="Kyun Taw Ward"/>
    <s v="MMR001008701510"/>
    <x v="76"/>
    <x v="75"/>
    <x v="68"/>
    <n v="25.305669999999999"/>
    <n v="470"/>
    <n v="13"/>
    <n v="66"/>
    <n v="5.0769230769230766"/>
    <x v="0"/>
    <x v="0"/>
    <s v="Camp"/>
    <x v="0"/>
    <x v="1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10"/>
    <s v="MMR001008"/>
    <s v="Mogaung Town"/>
    <s v="MMR001008701"/>
    <s v="Nat Gyi Kone Ward"/>
    <s v="MMR001008701506"/>
    <x v="77"/>
    <x v="76"/>
    <x v="69"/>
    <n v="25.30442"/>
    <n v="100"/>
    <n v="11"/>
    <n v="40"/>
    <n v="3.6363636363636362"/>
    <x v="0"/>
    <x v="0"/>
    <s v="Camp"/>
    <x v="0"/>
    <x v="22"/>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1"/>
    <x v="0"/>
    <m/>
    <s v="Mohnyin"/>
    <m/>
    <x v="10"/>
    <m/>
    <s v="Mogaung Town"/>
    <m/>
    <s v="Namti"/>
    <m/>
    <x v="78"/>
    <x v="77"/>
    <x v="20"/>
    <m/>
    <m/>
    <n v="245"/>
    <n v="1084"/>
    <n v="4.4244897959183671"/>
    <x v="0"/>
    <x v="0"/>
    <s v="Camp like setting"/>
    <x v="0"/>
    <x v="23"/>
    <x v="2"/>
    <s v="IP"/>
    <s v="31-08-17"/>
    <m/>
    <s v="IDPs returned"/>
    <s v="Mogaung Town"/>
    <s v=""/>
    <s v=""/>
  </r>
  <r>
    <x v="0"/>
    <x v="0"/>
    <s v="MMR001"/>
    <s v="Mohnyin"/>
    <s v="MMR001D002"/>
    <x v="11"/>
    <s v="MMR001007"/>
    <s v="Mohnyin Town"/>
    <s v="MMR001007701"/>
    <s v="Aung Tha Pyay Ward"/>
    <s v="MMR001007701505"/>
    <x v="79"/>
    <x v="78"/>
    <x v="70"/>
    <n v="24.764800000000001"/>
    <m/>
    <n v="11"/>
    <n v="51"/>
    <n v="4.6363636363636367"/>
    <x v="0"/>
    <x v="0"/>
    <s v="Camp"/>
    <x v="0"/>
    <x v="17"/>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
    <s v="MMR001009"/>
    <s v="Nawng Mi"/>
    <s v="MMR001009008"/>
    <s v="Nawng Myi"/>
    <n v="166817"/>
    <x v="80"/>
    <x v="79"/>
    <x v="71"/>
    <n v="25.728653000000001"/>
    <m/>
    <m/>
    <m/>
    <s v="NA"/>
    <x v="0"/>
    <x v="0"/>
    <s v="Camp"/>
    <x v="2"/>
    <x v="6"/>
    <x v="1"/>
    <s v="IP"/>
    <d v="2015-04-02T00:00:00"/>
    <m/>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
    <s v="MMR001009"/>
    <s v="Lone Khin"/>
    <s v="MMR001009001"/>
    <s v="Ma Sut Yang"/>
    <n v="216880"/>
    <x v="81"/>
    <x v="80"/>
    <x v="72"/>
    <n v="25.668469999999999"/>
    <n v="256"/>
    <m/>
    <m/>
    <s v="NA"/>
    <x v="0"/>
    <x v="0"/>
    <s v="Camp"/>
    <x v="2"/>
    <x v="24"/>
    <x v="2"/>
    <s v="RRD"/>
    <d v="2014-05-15T00:00:00"/>
    <m/>
    <s v="Only one HH left, included in Lon Khin Baptist distribution list."/>
    <s v=""/>
    <s v=""/>
    <s v=""/>
  </r>
  <r>
    <x v="1"/>
    <x v="0"/>
    <s v="MMR001"/>
    <s v="Myitkyina"/>
    <s v="MMR001D001"/>
    <x v="2"/>
    <s v="MMR001002"/>
    <s v="Saga Pa (Sadung Sub-township)"/>
    <m/>
    <m/>
    <m/>
    <x v="82"/>
    <x v="81"/>
    <x v="73"/>
    <n v="25.273333000000001"/>
    <m/>
    <n v="0"/>
    <n v="0"/>
    <s v="NA"/>
    <x v="1"/>
    <x v="0"/>
    <s v="Camp"/>
    <x v="1"/>
    <x v="6"/>
    <x v="2"/>
    <m/>
    <m/>
    <m/>
    <m/>
    <s v=""/>
    <s v=""/>
    <s v=""/>
  </r>
  <r>
    <x v="1"/>
    <x v="0"/>
    <s v="MMR001"/>
    <s v="Bhamo"/>
    <s v="MMR001D003"/>
    <x v="7"/>
    <s v="MMR001013"/>
    <s v="Dum Buk"/>
    <s v="MMR001013014"/>
    <s v="Dum Buk"/>
    <n v="167343"/>
    <x v="83"/>
    <x v="82"/>
    <x v="74"/>
    <n v="24.000250000000001"/>
    <m/>
    <m/>
    <m/>
    <s v="NA"/>
    <x v="1"/>
    <x v="0"/>
    <s v="Camp"/>
    <x v="2"/>
    <x v="3"/>
    <x v="5"/>
    <s v="IP"/>
    <d v="2016-09-16T00:00:00"/>
    <m/>
    <s v="16/Sep/2016: Changes camp status. Actually it was not closed. It was combined as one camp with Bum Tsit Pa. Data source: KMSS_Bhamo._x000a_28/Jan/2016. Population update. Data source: KBC_x000a_Population Update. Source: Save The Children."/>
    <s v="Namhkan Town"/>
    <n v="19.631786732140053"/>
    <n v="4"/>
  </r>
  <r>
    <x v="1"/>
    <x v="0"/>
    <s v="MMR001"/>
    <s v="Mohnyin"/>
    <s v="MMR001D002"/>
    <x v="1"/>
    <s v="MMR001009"/>
    <m/>
    <m/>
    <m/>
    <m/>
    <x v="84"/>
    <x v="83"/>
    <x v="20"/>
    <m/>
    <m/>
    <m/>
    <m/>
    <s v="NA"/>
    <x v="0"/>
    <x v="0"/>
    <s v="Camp"/>
    <x v="1"/>
    <x v="6"/>
    <x v="2"/>
    <m/>
    <m/>
    <m/>
    <s v=" "/>
    <s v=""/>
    <s v=""/>
    <s v=""/>
  </r>
  <r>
    <x v="1"/>
    <x v="0"/>
    <s v="MMR001"/>
    <s v="Bhamo"/>
    <s v="MMR001D003"/>
    <x v="5"/>
    <s v="MMR001010"/>
    <m/>
    <m/>
    <m/>
    <m/>
    <x v="85"/>
    <x v="84"/>
    <x v="20"/>
    <m/>
    <m/>
    <n v="0"/>
    <n v="0"/>
    <s v="NA"/>
    <x v="0"/>
    <x v="0"/>
    <s v="Host Families"/>
    <x v="1"/>
    <x v="6"/>
    <x v="2"/>
    <m/>
    <d v="2014-01-27T00:00:00"/>
    <m/>
    <s v="Closed : Source, OCHA"/>
    <s v=""/>
    <s v=""/>
    <s v=""/>
  </r>
  <r>
    <x v="1"/>
    <x v="0"/>
    <s v="MMR001"/>
    <s v="Mohnyin"/>
    <s v="MMR001D002"/>
    <x v="1"/>
    <s v="MMR001009"/>
    <s v="Seik Mu"/>
    <s v="MMR001009003"/>
    <s v="Seik Mu"/>
    <n v="166783"/>
    <x v="86"/>
    <x v="85"/>
    <x v="20"/>
    <m/>
    <m/>
    <m/>
    <m/>
    <s v="NA"/>
    <x v="0"/>
    <x v="0"/>
    <s v="Camp"/>
    <x v="2"/>
    <x v="6"/>
    <x v="2"/>
    <s v="IP"/>
    <d v="2014-05-15T00:00:00"/>
    <m/>
    <s v="Closed."/>
    <s v=""/>
    <s v=""/>
    <s v=""/>
  </r>
  <r>
    <x v="1"/>
    <x v="0"/>
    <s v="MMR001"/>
    <s v="Mohnyin"/>
    <s v="MMR001D002"/>
    <x v="1"/>
    <s v="MMR001009"/>
    <s v="Seik Mu"/>
    <s v="MMR001009003"/>
    <s v="Seik Mu"/>
    <n v="166783"/>
    <x v="87"/>
    <x v="86"/>
    <x v="20"/>
    <m/>
    <m/>
    <m/>
    <m/>
    <s v="NA"/>
    <x v="0"/>
    <x v="0"/>
    <s v="Camp"/>
    <x v="1"/>
    <x v="6"/>
    <x v="2"/>
    <s v="RRD"/>
    <d v="2014-01-24T00:00:00"/>
    <m/>
    <s v="UNOCHA"/>
    <s v=""/>
    <s v=""/>
    <s v=""/>
  </r>
  <r>
    <x v="0"/>
    <x v="0"/>
    <s v="MMR001"/>
    <s v="Mohnyin"/>
    <s v="MMR001D002"/>
    <x v="1"/>
    <s v="MMR001009"/>
    <s v="Hpakan Town"/>
    <s v="MMR001009701"/>
    <s v="Maw Wam Ward"/>
    <s v="MMR001009701501"/>
    <x v="88"/>
    <x v="87"/>
    <x v="75"/>
    <n v="25.6145"/>
    <n v="65"/>
    <n v="8"/>
    <n v="15"/>
    <n v="1.875"/>
    <x v="0"/>
    <x v="0"/>
    <s v="Camp"/>
    <x v="0"/>
    <x v="2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0"/>
    <x v="1"/>
    <s v="MMR015"/>
    <s v="Muse"/>
    <s v="MMR015D002"/>
    <x v="3"/>
    <s v="MMR015010"/>
    <s v="Nawng Hkam"/>
    <s v="MMR015010010"/>
    <s v="Nawng Hkam"/>
    <n v="208353"/>
    <x v="89"/>
    <x v="88"/>
    <x v="76"/>
    <n v="23.821380000000001"/>
    <n v="811.6"/>
    <n v="75"/>
    <n v="394"/>
    <n v="5.253333333333333"/>
    <x v="0"/>
    <x v="0"/>
    <s v="Camp"/>
    <x v="0"/>
    <x v="2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2"/>
    <s v="MMR015009"/>
    <s v="Mung Baw "/>
    <s v="MMR015009013"/>
    <s v="Mung Baw "/>
    <m/>
    <x v="90"/>
    <x v="89"/>
    <x v="77"/>
    <n v="24.008452999999999"/>
    <n v="3396"/>
    <m/>
    <m/>
    <s v="NA"/>
    <x v="1"/>
    <x v="0"/>
    <s v="Host Families"/>
    <x v="2"/>
    <x v="6"/>
    <x v="2"/>
    <s v="IRRC"/>
    <d v="2017-04-06T00:00:00"/>
    <m/>
    <s v="6/April/2017: Changed the camp stutas as &quot;Closed&quot;. Data source CCCM and comfirmed by partner (KBC). And it was updated since 3/March/2017_x000a_Change to Host Families."/>
    <s v="Pang Hseng (Kyu Koke) Town"/>
    <n v="7.490291417449443"/>
    <n v="2"/>
  </r>
  <r>
    <x v="1"/>
    <x v="0"/>
    <s v="MMR001"/>
    <s v="Myitkyina"/>
    <s v="MMR001D001"/>
    <x v="4"/>
    <s v="MMR001005"/>
    <m/>
    <m/>
    <m/>
    <m/>
    <x v="91"/>
    <x v="90"/>
    <x v="20"/>
    <m/>
    <m/>
    <m/>
    <m/>
    <s v="NA"/>
    <x v="0"/>
    <x v="0"/>
    <s v="Camp"/>
    <x v="2"/>
    <x v="6"/>
    <x v="3"/>
    <s v="IP"/>
    <d v="2015-04-02T00:00:00"/>
    <m/>
    <s v="2-Apr-15 (Closed. Source: GAD)_x000a_Responsible Agency update. KMSS-BMO to KMSS-MYT."/>
    <s v=""/>
    <s v=""/>
    <s v=""/>
  </r>
  <r>
    <x v="0"/>
    <x v="1"/>
    <s v="MMR015"/>
    <s v="Muse"/>
    <s v="MMR015D002"/>
    <x v="13"/>
    <s v="MMR015011"/>
    <s v="Long Waun Nam Rein (Tarmoenye Sub-township)"/>
    <s v="MMR015011050"/>
    <s v="Mai Pong (Shu See)"/>
    <n v="219842"/>
    <x v="92"/>
    <x v="91"/>
    <x v="78"/>
    <n v="23.400155999999999"/>
    <n v="3109"/>
    <n v="46"/>
    <n v="254"/>
    <n v="5.5217391304347823"/>
    <x v="0"/>
    <x v="0"/>
    <s v="Camp"/>
    <x v="2"/>
    <x v="26"/>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Mohnyin"/>
    <s v="MMR001D002"/>
    <x v="1"/>
    <s v="MMR001009"/>
    <s v="Hpakan Town"/>
    <s v="MMR001009701"/>
    <s v="Maw Wam Ward"/>
    <s v="MMR001009701501"/>
    <x v="93"/>
    <x v="92"/>
    <x v="20"/>
    <m/>
    <m/>
    <n v="0"/>
    <n v="0"/>
    <s v="NA"/>
    <x v="0"/>
    <x v="0"/>
    <s v="Camp"/>
    <x v="1"/>
    <x v="6"/>
    <x v="2"/>
    <m/>
    <m/>
    <m/>
    <m/>
    <s v=""/>
    <s v=""/>
    <s v=""/>
  </r>
  <r>
    <x v="0"/>
    <x v="1"/>
    <s v="MMR015"/>
    <s v="Muse"/>
    <s v="MMR015D002"/>
    <x v="13"/>
    <s v="MMR015011"/>
    <s v="Nam Hpat Kar"/>
    <s v="MMR015011020"/>
    <s v="Nam Hpat Kar (Ho Pon + Pang Sa Lorp)"/>
    <n v="208696"/>
    <x v="94"/>
    <x v="93"/>
    <x v="79"/>
    <n v="23.694130000000001"/>
    <n v="1135.7"/>
    <n v="57"/>
    <n v="262"/>
    <n v="4.5964912280701755"/>
    <x v="0"/>
    <x v="0"/>
    <s v="Camp"/>
    <x v="2"/>
    <x v="1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Bhamo"/>
    <s v="MMR001D003"/>
    <x v="7"/>
    <s v="MMR001013"/>
    <m/>
    <m/>
    <m/>
    <m/>
    <x v="95"/>
    <x v="94"/>
    <x v="20"/>
    <m/>
    <m/>
    <n v="0"/>
    <n v="0"/>
    <s v="NA"/>
    <x v="0"/>
    <x v="0"/>
    <s v="Rural"/>
    <x v="1"/>
    <x v="6"/>
    <x v="2"/>
    <s v="IP"/>
    <d v="2014-02-07T00:00:00"/>
    <m/>
    <s v="Source OCHA"/>
    <s v=""/>
    <s v=""/>
    <s v=""/>
  </r>
  <r>
    <x v="0"/>
    <x v="1"/>
    <s v="MMR015"/>
    <s v="Kyaukme"/>
    <s v="MMR015D003"/>
    <x v="14"/>
    <s v="MMR015019"/>
    <s v="Urban"/>
    <s v="MMR015019701"/>
    <s v="No (2) Ward"/>
    <s v="MMR015019701503"/>
    <x v="96"/>
    <x v="95"/>
    <x v="80"/>
    <n v="23.250678000000001"/>
    <n v="1250"/>
    <n v="33"/>
    <n v="178"/>
    <n v="5.3939393939393936"/>
    <x v="0"/>
    <x v="0"/>
    <s v="Camp"/>
    <x v="0"/>
    <x v="7"/>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2"/>
    <s v="MMR015019"/>
    <s v="Man Pying (Pang Hseng (Kyu Koke)) Sub-township"/>
    <s v="MMR015009038"/>
    <s v="Hawwa"/>
    <m/>
    <x v="97"/>
    <x v="96"/>
    <x v="81"/>
    <n v="23.917631"/>
    <m/>
    <m/>
    <m/>
    <s v="NA"/>
    <x v="0"/>
    <x v="0"/>
    <s v="Host Families"/>
    <x v="2"/>
    <x v="6"/>
    <x v="2"/>
    <s v="IP"/>
    <d v="2017-04-06T00:00:00"/>
    <m/>
    <s v="6/Apr/2017: Changed the camp status as &quot;Closed&quot;. Data source: CCCM and comfirmed by partner (KBC). And it was updated since 3/Mar/2014._x000a_Change to Host Families."/>
    <s v="Pang Hseng (Kyu Koke) Town"/>
    <n v="18.405283544772924"/>
    <n v="4"/>
  </r>
  <r>
    <x v="1"/>
    <x v="0"/>
    <s v="MMR001"/>
    <s v="Bhamo"/>
    <s v="MMR001D003"/>
    <x v="5"/>
    <s v="MMR001010"/>
    <m/>
    <m/>
    <m/>
    <m/>
    <x v="98"/>
    <x v="97"/>
    <x v="82"/>
    <n v="24.262418020999998"/>
    <m/>
    <m/>
    <m/>
    <s v="NA"/>
    <x v="0"/>
    <x v="0"/>
    <s v="Camp"/>
    <x v="1"/>
    <x v="6"/>
    <x v="2"/>
    <s v="IP"/>
    <d v="2014-01-22T00:00:00"/>
    <m/>
    <s v="Closed: Source UNHCR-Bhamo"/>
    <s v=""/>
    <s v=""/>
    <s v=""/>
  </r>
  <r>
    <x v="1"/>
    <x v="1"/>
    <s v="MMR015"/>
    <s v="Muse"/>
    <s v="MMR015D003"/>
    <x v="12"/>
    <s v="MMR015019"/>
    <s v="Mone Paw Nam Chet (Zay) (Pang Hseng (Kyu Koke)) Sub-township"/>
    <s v="MMR015009033"/>
    <s v="Mone Paw Nam Chet"/>
    <n v="208167"/>
    <x v="99"/>
    <x v="98"/>
    <x v="83"/>
    <n v="23.978088"/>
    <m/>
    <m/>
    <m/>
    <s v="NA"/>
    <x v="0"/>
    <x v="0"/>
    <s v="Host Families"/>
    <x v="2"/>
    <x v="6"/>
    <x v="2"/>
    <s v="IP"/>
    <d v="2017-04-06T00:00:00"/>
    <m/>
    <s v="6/Apr/2017: Changed the camp status as &quot;Closed&quot;. Data source: CCCM and comfirmed by partner (KBC). And it was updated since 3/Mar/2014._x000a_Change to Host Families."/>
    <s v="Pang Hseng (Kyu Koke) Town"/>
    <n v="12.794700705104317"/>
    <n v="3"/>
  </r>
  <r>
    <x v="0"/>
    <x v="0"/>
    <s v="MMR001"/>
    <s v="Mohnyin"/>
    <s v="MMR001D002"/>
    <x v="1"/>
    <s v="MMR001009"/>
    <s v="Nam Ma Hpyit"/>
    <s v="MMR001009002"/>
    <s v="Nam Ma Hpyit"/>
    <n v="166776"/>
    <x v="100"/>
    <x v="99"/>
    <x v="84"/>
    <n v="25.613894999999999"/>
    <n v="251"/>
    <n v="53"/>
    <n v="277"/>
    <n v="5.2264150943396226"/>
    <x v="0"/>
    <x v="0"/>
    <s v="Camp"/>
    <x v="0"/>
    <x v="27"/>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1"/>
    <s v="MMR015"/>
    <s v="Muse"/>
    <s v="MMR015D002"/>
    <x v="12"/>
    <s v="MMR015009"/>
    <s v="Man Gyat (Monekoe Sub-township)"/>
    <s v="MMR015009048"/>
    <s v="Gwum Hsan"/>
    <m/>
    <x v="101"/>
    <x v="100"/>
    <x v="85"/>
    <n v="24.101320999999999"/>
    <n v="2979"/>
    <m/>
    <m/>
    <s v="NA"/>
    <x v="1"/>
    <x v="0"/>
    <s v="Camp"/>
    <x v="0"/>
    <x v="28"/>
    <x v="0"/>
    <s v="IP"/>
    <d v="2016-06-15T00:00:00"/>
    <m/>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0"/>
    <s v="MMR001"/>
    <s v="Mohnyin"/>
    <s v="MMR001D002"/>
    <x v="1"/>
    <s v="MMR001009"/>
    <s v="Nam Ma Hpyit"/>
    <s v="MMR001009002"/>
    <s v="Nam Ma Hpyit"/>
    <n v="166776"/>
    <x v="102"/>
    <x v="101"/>
    <x v="86"/>
    <n v="25.599250000000001"/>
    <n v="0"/>
    <n v="11"/>
    <n v="48"/>
    <n v="4.3636363636363633"/>
    <x v="0"/>
    <x v="0"/>
    <s v="Camp"/>
    <x v="0"/>
    <x v="2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Puta-O"/>
    <s v="MMR001D004"/>
    <x v="15"/>
    <s v="MMR001018"/>
    <s v="La Ja Ga"/>
    <s v="MMR001018021"/>
    <s v="La Ja"/>
    <n v="168236"/>
    <x v="103"/>
    <x v="102"/>
    <x v="87"/>
    <n v="26.890058"/>
    <n v="1393"/>
    <m/>
    <m/>
    <s v="NA"/>
    <x v="0"/>
    <x v="0"/>
    <s v="Camp"/>
    <x v="2"/>
    <x v="6"/>
    <x v="2"/>
    <s v="RRD"/>
    <d v="2017-02-02T00:00:00"/>
    <m/>
    <s v="Closed Camp_x000a_Update data from OCHA IDPs List"/>
    <s v="Khaunglanhpu Town"/>
    <n v="28.422357500443528"/>
    <n v="6"/>
  </r>
  <r>
    <x v="1"/>
    <x v="0"/>
    <s v="MMR001"/>
    <s v="Bhamo"/>
    <s v="MMR001D003"/>
    <x v="7"/>
    <s v="MMR001013"/>
    <s v="Man Mawn"/>
    <s v="MMR001013022"/>
    <m/>
    <m/>
    <x v="104"/>
    <x v="103"/>
    <x v="88"/>
    <n v="23.867713999999999"/>
    <n v="755"/>
    <n v="0"/>
    <n v="0"/>
    <s v="NA"/>
    <x v="1"/>
    <x v="0"/>
    <s v="Camp"/>
    <x v="2"/>
    <x v="29"/>
    <x v="5"/>
    <s v="IP"/>
    <d v="2014-06-21T00:00:00"/>
    <m/>
    <s v="Closed. Source: Save The Children"/>
    <s v=""/>
    <s v=""/>
    <s v=""/>
  </r>
  <r>
    <x v="1"/>
    <x v="0"/>
    <s v="MMR001"/>
    <s v="Myitkyina"/>
    <s v="MMR001D001"/>
    <x v="2"/>
    <s v="MMR001002"/>
    <s v="Nam Sang Yang"/>
    <s v="MMR001002024"/>
    <s v="Nam Sang Yang"/>
    <n v="165772"/>
    <x v="105"/>
    <x v="104"/>
    <x v="89"/>
    <n v="24.747212999999999"/>
    <n v="221"/>
    <n v="0"/>
    <n v="0"/>
    <s v="NA"/>
    <x v="1"/>
    <x v="0"/>
    <s v="Camp"/>
    <x v="2"/>
    <x v="0"/>
    <x v="3"/>
    <s v="IP"/>
    <d v="2015-06-25T00:00:00"/>
    <m/>
    <s v="25-Jun-15 (Relocated to Hpum Lone Yan and Wai Choi)_x000a_Population Update. Source: UNHCR Cross-Line Mission Report. (July 2014)"/>
    <s v="Laiza town"/>
    <n v="1.857513522619473"/>
    <n v="1"/>
  </r>
  <r>
    <x v="0"/>
    <x v="0"/>
    <s v="MMR001"/>
    <s v="Mohnyin"/>
    <s v="MMR001D002"/>
    <x v="1"/>
    <s v="MMR001009"/>
    <s v="Seik Mu"/>
    <s v="MMR001009003"/>
    <s v="Seik Mu"/>
    <n v="166783"/>
    <x v="106"/>
    <x v="105"/>
    <x v="90"/>
    <n v="25.582065"/>
    <n v="0"/>
    <n v="5"/>
    <n v="26"/>
    <n v="5.2"/>
    <x v="0"/>
    <x v="0"/>
    <s v="Camp"/>
    <x v="0"/>
    <x v="27"/>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yitkyina"/>
    <s v="MMR001D001"/>
    <x v="16"/>
    <s v="MMR001003"/>
    <m/>
    <m/>
    <m/>
    <m/>
    <x v="107"/>
    <x v="106"/>
    <x v="20"/>
    <m/>
    <m/>
    <n v="0"/>
    <n v="0"/>
    <s v="NA"/>
    <x v="0"/>
    <x v="0"/>
    <s v="Camp"/>
    <x v="1"/>
    <x v="6"/>
    <x v="2"/>
    <m/>
    <d v="2014-03-14T00:00:00"/>
    <m/>
    <s v="Close. According to RRC's info, this camp does not include in reported list."/>
    <s v=""/>
    <s v=""/>
    <s v=""/>
  </r>
  <r>
    <x v="1"/>
    <x v="0"/>
    <s v="MMR001"/>
    <s v="Bhamo"/>
    <s v="MMR001D003"/>
    <x v="7"/>
    <s v="MMR001013"/>
    <s v="La Gat Dawt"/>
    <s v="MMR001013027"/>
    <m/>
    <m/>
    <x v="108"/>
    <x v="107"/>
    <x v="91"/>
    <n v="23.9055"/>
    <n v="745"/>
    <n v="0"/>
    <n v="0"/>
    <s v="NA"/>
    <x v="1"/>
    <x v="0"/>
    <s v="Camp"/>
    <x v="3"/>
    <x v="20"/>
    <x v="5"/>
    <s v="IP"/>
    <d v="2015-08-19T00:00:00"/>
    <m/>
    <s v="19-Aug-15 Close. Source: CCCM Unit._x000a_Population source: KMSS-BMO"/>
    <s v="Namhkan Town"/>
    <n v="12.392289083396149"/>
    <n v="3"/>
  </r>
  <r>
    <x v="0"/>
    <x v="0"/>
    <s v="MMR001"/>
    <s v="Myitkyina"/>
    <s v="MMR001D001"/>
    <x v="2"/>
    <s v="MMR001002"/>
    <s v="Saga Pa (Sadung Sub-township)"/>
    <s v="MMR001002040"/>
    <s v="Saga Pa"/>
    <n v="165895"/>
    <x v="109"/>
    <x v="108"/>
    <x v="92"/>
    <n v="25.220278"/>
    <n v="2404"/>
    <n v="132"/>
    <n v="522"/>
    <n v="3.9545454545454546"/>
    <x v="1"/>
    <x v="0"/>
    <s v="Camp"/>
    <x v="3"/>
    <x v="16"/>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ohnyin"/>
    <s v="MMR001D002"/>
    <x v="1"/>
    <s v="MMR001009"/>
    <s v="Seik Mu"/>
    <s v="MMR001009003"/>
    <s v="Ma Mon"/>
    <n v="166790"/>
    <x v="110"/>
    <x v="109"/>
    <x v="20"/>
    <m/>
    <m/>
    <n v="0"/>
    <n v="0"/>
    <s v="NA"/>
    <x v="0"/>
    <x v="0"/>
    <s v="Camp"/>
    <x v="1"/>
    <x v="6"/>
    <x v="2"/>
    <m/>
    <m/>
    <m/>
    <s v=" "/>
    <s v=""/>
    <s v=""/>
    <s v=""/>
  </r>
  <r>
    <x v="0"/>
    <x v="0"/>
    <s v="MMR001"/>
    <s v="Myitkyina"/>
    <s v="MMR001D001"/>
    <x v="2"/>
    <s v="MMR001002"/>
    <s v="Saga Pa"/>
    <s v="MMR001002040"/>
    <s v="Hkau Shau"/>
    <m/>
    <x v="111"/>
    <x v="110"/>
    <x v="93"/>
    <n v="25.200333000000001"/>
    <n v="1023"/>
    <n v="149"/>
    <n v="908"/>
    <n v="6.0939597315436238"/>
    <x v="1"/>
    <x v="0"/>
    <s v="Camp"/>
    <x v="2"/>
    <x v="15"/>
    <x v="0"/>
    <s v="IP"/>
    <d v="2017-09-30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2"/>
    <s v="MMR001002"/>
    <s v="Nam Sang Yang"/>
    <s v="MMR001002024"/>
    <s v="Nam Sang Yang"/>
    <n v="165772"/>
    <x v="112"/>
    <x v="111"/>
    <x v="94"/>
    <n v="24.755253"/>
    <n v="316"/>
    <n v="1411"/>
    <n v="6904"/>
    <n v="4.8929836995038976"/>
    <x v="1"/>
    <x v="0"/>
    <s v="Camp"/>
    <x v="0"/>
    <x v="0"/>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Puta-O"/>
    <s v="MMR001D004"/>
    <x v="17"/>
    <s v="MMR001016"/>
    <m/>
    <m/>
    <m/>
    <m/>
    <x v="113"/>
    <x v="112"/>
    <x v="95"/>
    <n v="27.274059999999999"/>
    <n v="403"/>
    <m/>
    <m/>
    <s v="NA"/>
    <x v="0"/>
    <x v="0"/>
    <s v="Camp"/>
    <x v="2"/>
    <x v="30"/>
    <x v="2"/>
    <s v="IP"/>
    <d v="2015-06-25T00:00:00"/>
    <m/>
    <s v="25-Jun-15 (Relocate to Long Sut)_x000a_Geo-Info, HH/Pop data received from MIRA Form"/>
    <s v="Machanbaw Town"/>
    <n v="1.136583238544624"/>
    <n v="1"/>
  </r>
  <r>
    <x v="1"/>
    <x v="0"/>
    <s v="MMR001"/>
    <s v="Bhamo"/>
    <s v="MMR001D003"/>
    <x v="7"/>
    <s v="MMR001013"/>
    <s v="Mai Bat"/>
    <s v="MMR001013018"/>
    <s v="Man Kawng"/>
    <n v="167391"/>
    <x v="114"/>
    <x v="113"/>
    <x v="96"/>
    <n v="24.181640000000002"/>
    <m/>
    <n v="0"/>
    <n v="0"/>
    <s v="NA"/>
    <x v="0"/>
    <x v="0"/>
    <s v="Camp"/>
    <x v="1"/>
    <x v="6"/>
    <x v="2"/>
    <s v="IP"/>
    <d v="2014-03-03T00:00:00"/>
    <m/>
    <s v="Closed. Duplicate with Maing Khaung."/>
    <s v=""/>
    <s v=""/>
    <s v=""/>
  </r>
  <r>
    <x v="0"/>
    <x v="0"/>
    <s v="MMR001"/>
    <s v="Myitkyina"/>
    <s v="MMR001D001"/>
    <x v="2"/>
    <s v="MMR001002"/>
    <s v="Sa Ma"/>
    <s v="MMR001002031"/>
    <s v="Nar Gu"/>
    <n v="165790"/>
    <x v="115"/>
    <x v="114"/>
    <x v="97"/>
    <n v="24.980250000000002"/>
    <n v="984"/>
    <n v="437"/>
    <n v="1938"/>
    <n v="4.4347826086956523"/>
    <x v="1"/>
    <x v="0"/>
    <s v="Camp"/>
    <x v="2"/>
    <x v="0"/>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2"/>
    <s v="MMR001002"/>
    <s v="Sa Ma"/>
    <s v="MMR001002031"/>
    <s v="Par Jaung"/>
    <n v="165792"/>
    <x v="116"/>
    <x v="115"/>
    <x v="98"/>
    <n v="24.831944"/>
    <n v="2330"/>
    <n v="186"/>
    <n v="858"/>
    <n v="4.612903225806452"/>
    <x v="1"/>
    <x v="0"/>
    <s v="Camp"/>
    <x v="2"/>
    <x v="1"/>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6"/>
    <s v="MMR001012"/>
    <s v="In Baw Mai Kyin (Dawthponeyan Sub-township)"/>
    <s v="MMR001012042"/>
    <s v="Hpun Lum Yang"/>
    <n v="167223"/>
    <x v="117"/>
    <x v="116"/>
    <x v="99"/>
    <n v="24.688338999999999"/>
    <n v="314"/>
    <n v="1518"/>
    <n v="8513"/>
    <n v="5.608036890645586"/>
    <x v="1"/>
    <x v="0"/>
    <s v="Camp"/>
    <x v="2"/>
    <x v="17"/>
    <x v="3"/>
    <s v="IP"/>
    <d v="2017-09-30T00:00:00"/>
    <m/>
    <s v="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6"/>
    <s v="MMR001012"/>
    <s v="In Baw Mai Kyin (Dawthponeyan Sub-township)"/>
    <s v="MMR001012042"/>
    <s v="Hpun Lum Yang"/>
    <n v="167223"/>
    <x v="118"/>
    <x v="117"/>
    <x v="100"/>
    <n v="24.661905999999998"/>
    <n v="415"/>
    <n v="717"/>
    <n v="3615"/>
    <n v="5.0418410041841009"/>
    <x v="1"/>
    <x v="0"/>
    <s v="Camp"/>
    <x v="2"/>
    <x v="0"/>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6"/>
    <s v="MMR001012"/>
    <s v="Zee Wone Gawt"/>
    <s v="MMR001012023"/>
    <s v="Dum Bung"/>
    <n v="167343"/>
    <x v="119"/>
    <x v="118"/>
    <x v="101"/>
    <n v="24.461033"/>
    <n v="360"/>
    <n v="100"/>
    <n v="457"/>
    <n v="4.57"/>
    <x v="1"/>
    <x v="0"/>
    <s v="Camp"/>
    <x v="3"/>
    <x v="2"/>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6"/>
    <s v="MMR001012"/>
    <s v="Kawng Hsa (Lwegel Sub-township)"/>
    <s v="MMR001012033"/>
    <s v="Mai Gyar Yang"/>
    <n v="216913"/>
    <x v="120"/>
    <x v="119"/>
    <x v="102"/>
    <n v="24.2744"/>
    <n v="978"/>
    <n v="651"/>
    <n v="3602"/>
    <n v="5.5330261136712746"/>
    <x v="1"/>
    <x v="0"/>
    <s v="Camp"/>
    <x v="2"/>
    <x v="7"/>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7"/>
    <s v="MMR001013"/>
    <s v="In Ba Pa"/>
    <s v="MMR001013012"/>
    <s v="La Na"/>
    <n v="216948"/>
    <x v="121"/>
    <x v="120"/>
    <x v="103"/>
    <n v="24.056132999999999"/>
    <n v="866"/>
    <n v="548"/>
    <n v="2482"/>
    <n v="4.5291970802919712"/>
    <x v="1"/>
    <x v="0"/>
    <s v="Camp"/>
    <x v="2"/>
    <x v="3"/>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7"/>
    <s v="MMR001013"/>
    <s v="Dum Buk"/>
    <s v="MMR001013014"/>
    <s v="Dum Buk"/>
    <s v="Dum Buk"/>
    <x v="122"/>
    <x v="121"/>
    <x v="104"/>
    <n v="24.002433"/>
    <n v="854"/>
    <n v="386"/>
    <n v="1902"/>
    <n v="4.9274611398963728"/>
    <x v="1"/>
    <x v="0"/>
    <s v="Camp"/>
    <x v="2"/>
    <x v="3"/>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6"/>
    <s v="MMR001012"/>
    <s v="Ba Lawng Kawng (Lwegel Sub-township)"/>
    <s v="MMR001012030"/>
    <s v="Hpa Lum"/>
    <n v="167138"/>
    <x v="123"/>
    <x v="122"/>
    <x v="105"/>
    <n v="24.378167000000001"/>
    <n v="1149"/>
    <n v="356"/>
    <n v="1787"/>
    <n v="5.0196629213483144"/>
    <x v="1"/>
    <x v="0"/>
    <s v="Camp"/>
    <x v="2"/>
    <x v="7"/>
    <x v="5"/>
    <s v="IP"/>
    <d v="2017-09-30T00:00:00"/>
    <m/>
    <s v="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7"/>
    <s v="MMR001013"/>
    <s v="Man Wein"/>
    <s v="MMR001013021"/>
    <s v="Man Wein"/>
    <n v="167405"/>
    <x v="124"/>
    <x v="123"/>
    <x v="106"/>
    <n v="23.835319999999999"/>
    <n v="795"/>
    <n v="441"/>
    <n v="2241"/>
    <n v="5.0816326530612246"/>
    <x v="0"/>
    <x v="0"/>
    <s v="Camp"/>
    <x v="2"/>
    <x v="16"/>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7"/>
    <s v="MMR001013"/>
    <s v="Man Wein"/>
    <s v="MMR001013021"/>
    <s v="Man Wein"/>
    <n v="167405"/>
    <x v="125"/>
    <x v="124"/>
    <x v="107"/>
    <n v="23.83013"/>
    <n v="741"/>
    <n v="109"/>
    <n v="579"/>
    <n v="5.3119266055045875"/>
    <x v="0"/>
    <x v="0"/>
    <s v="Camp"/>
    <x v="2"/>
    <x v="1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7"/>
    <s v="MMR001013"/>
    <s v="Man Wein"/>
    <s v="MMR001013021"/>
    <s v="Man Wein"/>
    <n v="167405"/>
    <x v="126"/>
    <x v="125"/>
    <x v="108"/>
    <n v="23.827870999999998"/>
    <m/>
    <n v="175"/>
    <n v="834"/>
    <n v="4.765714285714286"/>
    <x v="0"/>
    <x v="0"/>
    <s v="Host Families"/>
    <x v="2"/>
    <x v="6"/>
    <x v="2"/>
    <s v="IP"/>
    <d v="2016-01-28T00:00:00"/>
    <m/>
    <s v="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7"/>
    <s v="MMR001013"/>
    <s v="Mai Bat"/>
    <s v="MMR001013018"/>
    <s v="Man Kawng"/>
    <n v="167391"/>
    <x v="127"/>
    <x v="126"/>
    <x v="96"/>
    <n v="24.181640000000002"/>
    <m/>
    <n v="0"/>
    <n v="0"/>
    <s v="NA"/>
    <x v="0"/>
    <x v="0"/>
    <s v="Camp"/>
    <x v="1"/>
    <x v="6"/>
    <x v="2"/>
    <s v="IP"/>
    <d v="2014-03-03T00:00:00"/>
    <m/>
    <s v="Closed. Duplicate with Maing Khaung."/>
    <s v=""/>
    <s v=""/>
    <s v=""/>
  </r>
  <r>
    <x v="1"/>
    <x v="0"/>
    <s v="MMR001"/>
    <s v="Myitkyina"/>
    <s v="MMR001D001"/>
    <x v="2"/>
    <s v="MMR001002"/>
    <s v="Nam Sang Yang"/>
    <s v="MMR001002024"/>
    <s v="Nam Sang Yang"/>
    <n v="165772"/>
    <x v="128"/>
    <x v="127"/>
    <x v="109"/>
    <n v="24.747966999999999"/>
    <m/>
    <n v="0"/>
    <n v="0"/>
    <s v="NA"/>
    <x v="0"/>
    <x v="0"/>
    <s v="Camp"/>
    <x v="1"/>
    <x v="6"/>
    <x v="2"/>
    <m/>
    <m/>
    <m/>
    <s v="Changed to closed"/>
    <s v=""/>
    <s v=""/>
    <s v=""/>
  </r>
  <r>
    <x v="1"/>
    <x v="0"/>
    <s v="MMR001"/>
    <s v="Bhamo"/>
    <s v="MMR001D003"/>
    <x v="6"/>
    <s v="MMR001012"/>
    <s v="Momauk Town"/>
    <s v="MMR001012701"/>
    <s v="Ah Lin Kawng Ward"/>
    <s v="MMR001012701502"/>
    <x v="129"/>
    <x v="128"/>
    <x v="110"/>
    <n v="24.251860000000001"/>
    <n v="0"/>
    <m/>
    <m/>
    <s v="NA"/>
    <x v="0"/>
    <x v="0"/>
    <s v="Camp"/>
    <x v="0"/>
    <x v="3"/>
    <x v="2"/>
    <s v="IP"/>
    <d v="2015-11-09T00:00:00"/>
    <m/>
    <s v="9/Nov/2015. updated camp status (Closed). Data Source; Lu Lu Awng by mail._x000a_19-Aug-15 Population update. Source: Shalom_x000a_25-Jun-15 (Population update. Source : Shalom)_x000a_Checked with Shalom data, IDPs figure do not change"/>
    <m/>
    <m/>
    <m/>
  </r>
  <r>
    <x v="1"/>
    <x v="0"/>
    <s v="MMR001"/>
    <s v="Mohnyin"/>
    <s v="MMR001D002"/>
    <x v="1"/>
    <s v="MMR001009"/>
    <s v="Hpakan Town"/>
    <s v="MMR001009701"/>
    <s v="Ma Shi Ka Htaung Ward"/>
    <s v="MMR001009701505"/>
    <x v="130"/>
    <x v="129"/>
    <x v="111"/>
    <n v="25.609179999999999"/>
    <m/>
    <n v="0"/>
    <n v="0"/>
    <s v="NA"/>
    <x v="0"/>
    <x v="0"/>
    <s v="Camp"/>
    <x v="1"/>
    <x v="6"/>
    <x v="2"/>
    <m/>
    <m/>
    <m/>
    <s v=" "/>
    <s v=""/>
    <s v=""/>
    <s v=""/>
  </r>
  <r>
    <x v="0"/>
    <x v="0"/>
    <s v="MMR001"/>
    <s v="Bhamo"/>
    <s v="MMR001D003"/>
    <x v="8"/>
    <s v="MMR001011"/>
    <m/>
    <m/>
    <m/>
    <m/>
    <x v="131"/>
    <x v="130"/>
    <x v="20"/>
    <m/>
    <m/>
    <n v="375"/>
    <n v="1691"/>
    <n v="4.5093333333333332"/>
    <x v="0"/>
    <x v="0"/>
    <s v="Host Families"/>
    <x v="2"/>
    <x v="31"/>
    <x v="2"/>
    <s v="IRRC"/>
    <d v="2017-06-02T00:00:00"/>
    <m/>
    <s v="2/June/2017: Updated Accessibility NGCA to GCA. Data source: UNOCHA._x000a_Change to Host Families."/>
    <s v=""/>
    <s v=""/>
    <s v=""/>
  </r>
  <r>
    <x v="0"/>
    <x v="0"/>
    <s v="MMR001"/>
    <s v="Mohnyin"/>
    <s v="MMR001D002"/>
    <x v="1"/>
    <s v="MMR001009"/>
    <s v="Nam Si In (Karmaing Sub-township)"/>
    <s v="MMR001009012"/>
    <s v="Htwe San Yang"/>
    <n v="220512"/>
    <x v="132"/>
    <x v="131"/>
    <x v="112"/>
    <n v="25.51352"/>
    <n v="0"/>
    <n v="13"/>
    <n v="46"/>
    <n v="3.5384615384615383"/>
    <x v="0"/>
    <x v="0"/>
    <s v="Camp"/>
    <x v="0"/>
    <x v="19"/>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1"/>
    <s v="MMR001007"/>
    <s v="Nam Mun"/>
    <s v="MMR001007016"/>
    <s v="Indawgyi"/>
    <m/>
    <x v="133"/>
    <x v="132"/>
    <x v="113"/>
    <n v="24.998349999999999"/>
    <m/>
    <n v="24"/>
    <n v="115"/>
    <n v="4.791666666666667"/>
    <x v="0"/>
    <x v="0"/>
    <s v="Camp"/>
    <x v="2"/>
    <x v="10"/>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0"/>
    <x v="0"/>
    <s v="MMR001"/>
    <s v="Myitkyina"/>
    <s v="MMR001D001"/>
    <x v="2"/>
    <s v="MMR001002"/>
    <s v="Saga Pa"/>
    <s v="MMR001002040"/>
    <s v="Saga Pa"/>
    <n v="165895"/>
    <x v="134"/>
    <x v="133"/>
    <x v="114"/>
    <n v="25.265277999999999"/>
    <n v="2764"/>
    <n v="88"/>
    <n v="545"/>
    <n v="6.1931818181818183"/>
    <x v="1"/>
    <x v="0"/>
    <s v="Camp"/>
    <x v="3"/>
    <x v="16"/>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5"/>
    <x v="134"/>
    <x v="115"/>
    <n v="25.493819999999999"/>
    <m/>
    <n v="46"/>
    <n v="279"/>
    <n v="6.0652173913043477"/>
    <x v="0"/>
    <x v="0"/>
    <s v="Camp"/>
    <x v="0"/>
    <x v="18"/>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5"/>
    <s v="MMR001010"/>
    <s v="Bhamo Town"/>
    <s v="MMR001010701"/>
    <m/>
    <m/>
    <x v="136"/>
    <x v="135"/>
    <x v="116"/>
    <n v="24.263786"/>
    <m/>
    <n v="197"/>
    <n v="957"/>
    <n v="4.8578680203045685"/>
    <x v="0"/>
    <x v="0"/>
    <s v="Host Families"/>
    <x v="0"/>
    <x v="6"/>
    <x v="2"/>
    <s v="IP"/>
    <d v="2017-04-07T00:00:00"/>
    <m/>
    <s v="7/April/2017: Population update. Data source: WFP_x000a_9/Nov/15. Population update. Data source: WFP_x000a_Update IDP increased in Oct and Nov 2013 (UNHCR - Bhamo)"/>
    <s v="Bhamo Town"/>
    <n v="1.1354007641426449"/>
    <n v="1"/>
  </r>
  <r>
    <x v="0"/>
    <x v="0"/>
    <s v="MMR001"/>
    <s v="Mohnyin"/>
    <s v="MMR001D002"/>
    <x v="1"/>
    <s v="MMR001009"/>
    <s v="Hpakan Town"/>
    <s v="MMR001009701"/>
    <s v="Maw Wam Ward"/>
    <s v="MMR001009701501"/>
    <x v="137"/>
    <x v="136"/>
    <x v="117"/>
    <n v="25.61842"/>
    <n v="250"/>
    <n v="12"/>
    <n v="62"/>
    <n v="5.166666666666667"/>
    <x v="0"/>
    <x v="0"/>
    <s v="Camp"/>
    <x v="0"/>
    <x v="2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
    <s v="MMR001009"/>
    <s v="Lone Khin"/>
    <s v="MMR001009001"/>
    <s v="Lone Khin"/>
    <n v="166773"/>
    <x v="138"/>
    <x v="137"/>
    <x v="118"/>
    <n v="25.656009999999998"/>
    <n v="317"/>
    <n v="70"/>
    <n v="350"/>
    <n v="5"/>
    <x v="0"/>
    <x v="0"/>
    <s v="Camp"/>
    <x v="2"/>
    <x v="24"/>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
    <s v="MMR001009"/>
    <s v="Lone Khin"/>
    <s v="MMR001009001"/>
    <s v="Hmaw Si Zar"/>
    <n v="166775"/>
    <x v="139"/>
    <x v="138"/>
    <x v="119"/>
    <n v="25.647649999999999"/>
    <n v="0"/>
    <n v="37"/>
    <n v="228"/>
    <n v="6.1621621621621623"/>
    <x v="0"/>
    <x v="0"/>
    <s v="Camp"/>
    <x v="2"/>
    <x v="24"/>
    <x v="0"/>
    <s v="IP"/>
    <d v="2017-09-30T00:00:00"/>
    <m/>
    <s v="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
    <s v="MMR001009"/>
    <s v="Lone Khin"/>
    <s v="MMR001009001"/>
    <s v="Nyein Chan Thar Yar"/>
    <n v="216876"/>
    <x v="140"/>
    <x v="139"/>
    <x v="120"/>
    <n v="25.637309999999999"/>
    <n v="277.60000000000002"/>
    <n v="70"/>
    <n v="376"/>
    <n v="5.371428571428571"/>
    <x v="0"/>
    <x v="0"/>
    <s v="Camp"/>
    <x v="0"/>
    <x v="2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
    <s v="MMR001009"/>
    <s v="Hpakan Town"/>
    <s v="MMR001009701"/>
    <s v="Ma Shi Ka Htaung Ward"/>
    <s v="MMR001009701505"/>
    <x v="141"/>
    <x v="140"/>
    <x v="20"/>
    <m/>
    <m/>
    <n v="0"/>
    <n v="0"/>
    <s v="NA"/>
    <x v="0"/>
    <x v="0"/>
    <s v="Camp"/>
    <x v="1"/>
    <x v="6"/>
    <x v="2"/>
    <m/>
    <m/>
    <m/>
    <s v=" "/>
    <s v=""/>
    <s v=""/>
    <s v=""/>
  </r>
  <r>
    <x v="1"/>
    <x v="0"/>
    <s v="MMR001"/>
    <s v="Mohnyin"/>
    <s v="MMR001D002"/>
    <x v="1"/>
    <s v="MMR001009"/>
    <s v="Hpakan Town"/>
    <s v="MMR001009701"/>
    <s v="Ma Shi Ka Htaung Ward"/>
    <s v="MMR001009701505"/>
    <x v="142"/>
    <x v="141"/>
    <x v="20"/>
    <m/>
    <m/>
    <n v="0"/>
    <n v="0"/>
    <s v="NA"/>
    <x v="0"/>
    <x v="0"/>
    <s v="Camp"/>
    <x v="1"/>
    <x v="6"/>
    <x v="2"/>
    <m/>
    <m/>
    <m/>
    <s v=" "/>
    <s v=""/>
    <s v=""/>
    <s v=""/>
  </r>
  <r>
    <x v="1"/>
    <x v="0"/>
    <s v="MMR001"/>
    <s v="Mohnyin"/>
    <s v="MMR001D002"/>
    <x v="1"/>
    <s v="MMR001009"/>
    <s v="Hpakan Town"/>
    <s v="MMR001009701"/>
    <s v="Ma Shi Ka Htaung Ward"/>
    <s v="MMR001009701505"/>
    <x v="143"/>
    <x v="142"/>
    <x v="20"/>
    <m/>
    <m/>
    <n v="0"/>
    <n v="0"/>
    <s v="NA"/>
    <x v="0"/>
    <x v="0"/>
    <s v="Camp"/>
    <x v="1"/>
    <x v="6"/>
    <x v="2"/>
    <m/>
    <m/>
    <m/>
    <s v=" "/>
    <s v=""/>
    <s v=""/>
    <s v=""/>
  </r>
  <r>
    <x v="1"/>
    <x v="0"/>
    <s v="MMR001"/>
    <s v="Mohnyin"/>
    <s v="MMR001D002"/>
    <x v="1"/>
    <s v="MMR001009"/>
    <s v="Hpakan Town"/>
    <s v="MMR001009701"/>
    <s v="Ma Shi Ka Htaung Ward"/>
    <s v="MMR001009701505"/>
    <x v="144"/>
    <x v="143"/>
    <x v="20"/>
    <m/>
    <m/>
    <n v="0"/>
    <n v="0"/>
    <s v="NA"/>
    <x v="0"/>
    <x v="0"/>
    <s v="Camp"/>
    <x v="1"/>
    <x v="6"/>
    <x v="2"/>
    <m/>
    <m/>
    <m/>
    <s v=" "/>
    <s v=""/>
    <s v=""/>
    <s v=""/>
  </r>
  <r>
    <x v="0"/>
    <x v="0"/>
    <s v="MMR001"/>
    <s v="Mohnyin"/>
    <s v="MMR001D002"/>
    <x v="1"/>
    <s v="MMR001009"/>
    <s v="Lone Khin"/>
    <s v="MMR001009001"/>
    <s v="Lone Khin"/>
    <n v="166773"/>
    <x v="145"/>
    <x v="144"/>
    <x v="121"/>
    <n v="25.635300000000001"/>
    <n v="0"/>
    <n v="65"/>
    <n v="350"/>
    <n v="5.384615384615385"/>
    <x v="0"/>
    <x v="0"/>
    <s v="Camp"/>
    <x v="0"/>
    <x v="24"/>
    <x v="1"/>
    <s v="IP"/>
    <d v="2017-09-30T00:00:00"/>
    <m/>
    <s v="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
    <s v="MMR001009"/>
    <s v="Hpakan Town"/>
    <s v="MMR001009701"/>
    <s v="Ma Shi Ka Htaung Ward"/>
    <s v="MMR001009701505"/>
    <x v="146"/>
    <x v="145"/>
    <x v="20"/>
    <m/>
    <m/>
    <n v="0"/>
    <n v="0"/>
    <s v="NA"/>
    <x v="0"/>
    <x v="0"/>
    <s v="Camp"/>
    <x v="1"/>
    <x v="6"/>
    <x v="2"/>
    <m/>
    <m/>
    <m/>
    <s v=" "/>
    <s v=""/>
    <s v=""/>
    <s v=""/>
  </r>
  <r>
    <x v="1"/>
    <x v="0"/>
    <s v="MMR001"/>
    <s v="Mohnyin"/>
    <s v="MMR001D002"/>
    <x v="1"/>
    <s v="MMR001009"/>
    <s v="Lone Khin"/>
    <s v="MMR001009001"/>
    <s v="Lone Khin"/>
    <n v="166773"/>
    <x v="147"/>
    <x v="146"/>
    <x v="122"/>
    <n v="25.656130000000001"/>
    <n v="0"/>
    <m/>
    <m/>
    <s v="NA"/>
    <x v="0"/>
    <x v="0"/>
    <s v="Camp"/>
    <x v="2"/>
    <x v="24"/>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
    <s v="MMR001009"/>
    <s v="Hpakan Town"/>
    <s v="MMR001009701"/>
    <s v="Ma Shi Ka Htaung Ward"/>
    <s v="MMR001009701505"/>
    <x v="148"/>
    <x v="147"/>
    <x v="20"/>
    <m/>
    <m/>
    <n v="0"/>
    <n v="0"/>
    <s v="NA"/>
    <x v="0"/>
    <x v="0"/>
    <s v="Camp"/>
    <x v="1"/>
    <x v="6"/>
    <x v="2"/>
    <m/>
    <m/>
    <m/>
    <s v=" "/>
    <s v=""/>
    <s v=""/>
    <s v=""/>
  </r>
  <r>
    <x v="1"/>
    <x v="0"/>
    <s v="MMR001"/>
    <s v="Mohnyin"/>
    <s v="MMR001D002"/>
    <x v="1"/>
    <s v="MMR001009"/>
    <s v="Hpakan Town"/>
    <s v="MMR001009701"/>
    <s v="Ma Shi Ka Htaung Ward"/>
    <s v="MMR001009701505"/>
    <x v="149"/>
    <x v="148"/>
    <x v="20"/>
    <m/>
    <m/>
    <n v="0"/>
    <n v="0"/>
    <s v="NA"/>
    <x v="0"/>
    <x v="0"/>
    <s v="Camp"/>
    <x v="1"/>
    <x v="6"/>
    <x v="2"/>
    <m/>
    <m/>
    <m/>
    <s v=" "/>
    <s v=""/>
    <s v=""/>
    <s v=""/>
  </r>
  <r>
    <x v="0"/>
    <x v="0"/>
    <s v="MMR001"/>
    <s v="Mohnyin"/>
    <s v="MMR001D002"/>
    <x v="1"/>
    <s v="MMR001009"/>
    <s v="Seik Mu"/>
    <s v="MMR001009003"/>
    <s v="Maw Shan"/>
    <n v="166785"/>
    <x v="150"/>
    <x v="149"/>
    <x v="123"/>
    <n v="25.566510000000001"/>
    <n v="278"/>
    <n v="19"/>
    <n v="100"/>
    <n v="5.2631578947368425"/>
    <x v="0"/>
    <x v="0"/>
    <s v="Camp"/>
    <x v="2"/>
    <x v="2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1"/>
    <x v="0"/>
    <s v="MMR001"/>
    <s v="Mohnyin"/>
    <s v="MMR001D002"/>
    <x v="1"/>
    <s v="MMR001009"/>
    <m/>
    <m/>
    <m/>
    <m/>
    <x v="151"/>
    <x v="150"/>
    <x v="124"/>
    <n v="25.6447"/>
    <m/>
    <n v="0"/>
    <n v="0"/>
    <s v="NA"/>
    <x v="0"/>
    <x v="0"/>
    <s v="Camp"/>
    <x v="1"/>
    <x v="6"/>
    <x v="2"/>
    <m/>
    <m/>
    <m/>
    <s v=" "/>
    <s v=""/>
    <s v=""/>
    <s v=""/>
  </r>
  <r>
    <x v="0"/>
    <x v="0"/>
    <s v="MMR001"/>
    <s v="Mohnyin"/>
    <s v="MMR001D002"/>
    <x v="1"/>
    <s v="MMR001009"/>
    <s v="Seik Mu"/>
    <s v="MMR001009003"/>
    <s v="Maw Shan"/>
    <n v="166785"/>
    <x v="152"/>
    <x v="151"/>
    <x v="125"/>
    <n v="25.56551"/>
    <n v="259"/>
    <n v="11"/>
    <n v="36"/>
    <n v="3.2727272727272729"/>
    <x v="0"/>
    <x v="0"/>
    <s v="Camp"/>
    <x v="2"/>
    <x v="2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
    <s v="MMR001009"/>
    <s v="Seik Mu"/>
    <s v="MMR001009003"/>
    <s v="Maw Shan"/>
    <n v="166785"/>
    <x v="153"/>
    <x v="152"/>
    <x v="126"/>
    <n v="25.668399999999998"/>
    <n v="0"/>
    <n v="8"/>
    <n v="32"/>
    <n v="4"/>
    <x v="0"/>
    <x v="0"/>
    <s v="Camp"/>
    <x v="2"/>
    <x v="24"/>
    <x v="0"/>
    <s v="IP"/>
    <d v="2017-09-30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
    <s v="MMR001009"/>
    <s v="Seik Mu"/>
    <s v="MMR001009003"/>
    <s v="Sai Taung (Ywar Haung)"/>
    <n v="166788"/>
    <x v="154"/>
    <x v="153"/>
    <x v="127"/>
    <n v="25.577559999999998"/>
    <n v="0"/>
    <n v="32"/>
    <n v="171"/>
    <n v="5.34375"/>
    <x v="0"/>
    <x v="0"/>
    <s v="Camp"/>
    <x v="0"/>
    <x v="24"/>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
    <s v="MMR001009"/>
    <s v="Hpakan Town"/>
    <s v="MMR001009701"/>
    <s v="Maw Wam Ward"/>
    <s v="MMR001009701501"/>
    <x v="155"/>
    <x v="154"/>
    <x v="128"/>
    <n v="25.616509000000001"/>
    <n v="264"/>
    <n v="14"/>
    <n v="81"/>
    <n v="5.7857142857142856"/>
    <x v="0"/>
    <x v="0"/>
    <s v="Camp"/>
    <x v="0"/>
    <x v="2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1"/>
    <x v="0"/>
    <s v="MMR001"/>
    <s v="Mohnyin"/>
    <s v="MMR001D002"/>
    <x v="1"/>
    <s v="MMR001009"/>
    <s v="Hpakan Town"/>
    <s v="MMR001009701"/>
    <s v="Maw Wam Ward"/>
    <s v="MMR001009701501"/>
    <x v="156"/>
    <x v="155"/>
    <x v="20"/>
    <m/>
    <m/>
    <n v="0"/>
    <n v="0"/>
    <s v="NA"/>
    <x v="0"/>
    <x v="0"/>
    <s v="Camp"/>
    <x v="1"/>
    <x v="6"/>
    <x v="2"/>
    <m/>
    <m/>
    <m/>
    <s v=" "/>
    <s v=""/>
    <s v=""/>
    <s v=""/>
  </r>
  <r>
    <x v="1"/>
    <x v="0"/>
    <s v="MMR001"/>
    <s v="Mohnyin"/>
    <s v="MMR001D002"/>
    <x v="1"/>
    <s v="MMR001009"/>
    <s v="Hpakan Town"/>
    <s v="MMR001009701"/>
    <s v="Maw Wam Ward"/>
    <s v="MMR001009701501"/>
    <x v="157"/>
    <x v="156"/>
    <x v="129"/>
    <n v="25.619221"/>
    <m/>
    <n v="0"/>
    <n v="0"/>
    <s v="NA"/>
    <x v="0"/>
    <x v="0"/>
    <s v="Camp"/>
    <x v="1"/>
    <x v="6"/>
    <x v="2"/>
    <m/>
    <m/>
    <m/>
    <s v=" "/>
    <s v=""/>
    <s v=""/>
    <s v=""/>
  </r>
  <r>
    <x v="1"/>
    <x v="0"/>
    <s v="MMR001"/>
    <s v="Mohnyin"/>
    <s v="MMR001D002"/>
    <x v="1"/>
    <s v="MMR001009"/>
    <s v="Hpakan Town"/>
    <s v="MMR001009701"/>
    <s v="Maw Wam Ward"/>
    <s v="MMR001009701501"/>
    <x v="158"/>
    <x v="157"/>
    <x v="20"/>
    <m/>
    <m/>
    <n v="0"/>
    <n v="0"/>
    <s v="NA"/>
    <x v="0"/>
    <x v="0"/>
    <s v="Camp"/>
    <x v="1"/>
    <x v="6"/>
    <x v="2"/>
    <m/>
    <m/>
    <m/>
    <s v=" "/>
    <s v=""/>
    <s v=""/>
    <s v=""/>
  </r>
  <r>
    <x v="1"/>
    <x v="0"/>
    <s v="MMR001"/>
    <s v="Mohnyin"/>
    <s v="MMR001D002"/>
    <x v="1"/>
    <s v="MMR001009"/>
    <s v="Hpakan Town"/>
    <s v="MMR001009701"/>
    <s v="Maw Wam Ward"/>
    <s v="MMR001009701501"/>
    <x v="159"/>
    <x v="158"/>
    <x v="20"/>
    <m/>
    <m/>
    <n v="0"/>
    <n v="0"/>
    <s v="NA"/>
    <x v="0"/>
    <x v="0"/>
    <s v="Camp"/>
    <x v="1"/>
    <x v="6"/>
    <x v="2"/>
    <m/>
    <m/>
    <m/>
    <s v=" "/>
    <s v=""/>
    <s v=""/>
    <s v=""/>
  </r>
  <r>
    <x v="0"/>
    <x v="0"/>
    <s v="MMR001"/>
    <s v="Mohnyin"/>
    <s v="MMR001D002"/>
    <x v="1"/>
    <s v="MMR001009"/>
    <s v="Hpakan Town"/>
    <s v="MMR001009701"/>
    <s v="Maw Wam Ward"/>
    <s v="MMR001009701501"/>
    <x v="160"/>
    <x v="159"/>
    <x v="130"/>
    <n v="25.615960999999999"/>
    <n v="281"/>
    <n v="4"/>
    <n v="27"/>
    <n v="6.75"/>
    <x v="0"/>
    <x v="0"/>
    <s v="Camp"/>
    <x v="0"/>
    <x v="2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
    <s v="MMR001009"/>
    <s v="Nam Ma Hpyit"/>
    <s v="MMR001009002"/>
    <s v="Nam Ma Hpyit"/>
    <n v="166776"/>
    <x v="161"/>
    <x v="160"/>
    <x v="131"/>
    <n v="25.617998"/>
    <m/>
    <n v="11"/>
    <n v="45"/>
    <n v="4.0909090909090908"/>
    <x v="0"/>
    <x v="0"/>
    <s v="Camp"/>
    <x v="0"/>
    <x v="24"/>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5"/>
    <s v="MMR001010"/>
    <s v="Han Te"/>
    <s v="MMR001010024"/>
    <s v="Hpan Hkar Kone"/>
    <n v="166854"/>
    <x v="162"/>
    <x v="161"/>
    <x v="132"/>
    <n v="24.222349999999999"/>
    <n v="0"/>
    <n v="144"/>
    <n v="754"/>
    <n v="5.2361111111111107"/>
    <x v="0"/>
    <x v="0"/>
    <s v="Camp"/>
    <x v="0"/>
    <x v="24"/>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5"/>
    <s v="MMR001010"/>
    <s v="Aung Thar"/>
    <s v="MMR001010048"/>
    <s v="Aung Thar"/>
    <n v="166904"/>
    <x v="163"/>
    <x v="162"/>
    <x v="132"/>
    <n v="24.260466999999998"/>
    <n v="0"/>
    <n v="12"/>
    <n v="53"/>
    <n v="4.416666666666667"/>
    <x v="0"/>
    <x v="0"/>
    <s v="Camp"/>
    <x v="0"/>
    <x v="26"/>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
    <s v="MMR001009"/>
    <s v="Lone Khin"/>
    <s v="MMR001009001"/>
    <s v="Lone Khin"/>
    <n v="166773"/>
    <x v="164"/>
    <x v="163"/>
    <x v="133"/>
    <n v="25.651440000000001"/>
    <m/>
    <n v="0"/>
    <n v="0"/>
    <s v="NA"/>
    <x v="0"/>
    <x v="0"/>
    <s v="Camp"/>
    <x v="1"/>
    <x v="6"/>
    <x v="2"/>
    <m/>
    <m/>
    <m/>
    <s v=" "/>
    <s v=""/>
    <s v=""/>
    <s v=""/>
  </r>
  <r>
    <x v="0"/>
    <x v="0"/>
    <s v="MMR001"/>
    <s v="Myitkyina"/>
    <s v="MMR001D001"/>
    <x v="4"/>
    <s v="MMR001005"/>
    <s v="Urban"/>
    <s v="MMR001005701"/>
    <s v="Rit Law"/>
    <m/>
    <x v="165"/>
    <x v="164"/>
    <x v="134"/>
    <n v="25.887339999999998"/>
    <n v="259.10000000000002"/>
    <n v="144"/>
    <n v="630"/>
    <n v="4.375"/>
    <x v="0"/>
    <x v="0"/>
    <s v="Camp"/>
    <x v="2"/>
    <x v="10"/>
    <x v="1"/>
    <s v="IP"/>
    <d v="2017-09-30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7"/>
    <s v="MMR001013"/>
    <s v="Mansi Town"/>
    <s v="MMR001013701"/>
    <m/>
    <m/>
    <x v="136"/>
    <x v="165"/>
    <x v="135"/>
    <n v="24.118618999999999"/>
    <m/>
    <n v="73"/>
    <n v="274"/>
    <n v="3.7534246575342465"/>
    <x v="0"/>
    <x v="0"/>
    <s v="Host Families"/>
    <x v="0"/>
    <x v="6"/>
    <x v="2"/>
    <s v="IP"/>
    <d v="2017-04-07T00:00:00"/>
    <m/>
    <s v="7/April/2017: Population update. Data source: WFP_x000a_9/Nov/15. Population update. Data source: WFP_x000a_Update IDP increased in Oct and Nov 2013 from (UNHCR - Bhamo)"/>
    <s v="Mansi Town"/>
    <n v="0.51447052329458698"/>
    <n v="1"/>
  </r>
  <r>
    <x v="0"/>
    <x v="0"/>
    <s v="MMR001"/>
    <s v="Bhamo"/>
    <s v="MMR001D003"/>
    <x v="6"/>
    <s v="MMR001012"/>
    <s v="Momauk Town"/>
    <s v="MMR001012701"/>
    <m/>
    <m/>
    <x v="136"/>
    <x v="166"/>
    <x v="136"/>
    <n v="24.251232000000002"/>
    <m/>
    <n v="226"/>
    <n v="1048"/>
    <n v="4.6371681415929205"/>
    <x v="0"/>
    <x v="0"/>
    <s v="Host Families"/>
    <x v="0"/>
    <x v="6"/>
    <x v="2"/>
    <s v="RRD"/>
    <d v="2017-04-07T00:00:00"/>
    <m/>
    <s v="7/April/2017: Population update. Data source: WFP_x000a_9/Nov/15. Population update. Data source: WFP"/>
    <s v="Momauk Town"/>
    <n v="0.60629049139006752"/>
    <n v="1"/>
  </r>
  <r>
    <x v="1"/>
    <x v="0"/>
    <s v="MMR001"/>
    <s v="Bhamo"/>
    <s v="MMR001D003"/>
    <x v="6"/>
    <s v="MMR001012"/>
    <s v="Man Ping (Ping) (Dawthponeyan Sub-township)"/>
    <s v="MMR001012052"/>
    <s v="Man Ping"/>
    <n v="167270"/>
    <x v="166"/>
    <x v="167"/>
    <x v="137"/>
    <n v="24.759551999999999"/>
    <m/>
    <m/>
    <m/>
    <s v="NA"/>
    <x v="0"/>
    <x v="0"/>
    <s v="Host Families"/>
    <x v="2"/>
    <x v="6"/>
    <x v="2"/>
    <s v="RRD"/>
    <d v="2017-07-11T00:00:00"/>
    <m/>
    <s v="11/Jul/2017: Change status to Close as no update available_x000a_Geo-Info, HH/Pop data was updated from Google Earth."/>
    <s v="Dawthponeyan  Town"/>
    <n v="24.701686141136339"/>
    <n v="5"/>
  </r>
  <r>
    <x v="1"/>
    <x v="0"/>
    <s v="MMR001"/>
    <s v="Bhamo"/>
    <s v="MMR001D003"/>
    <x v="8"/>
    <s v="MMR001011"/>
    <s v="Shwegu Town"/>
    <s v="MMR001011701"/>
    <m/>
    <m/>
    <x v="136"/>
    <x v="168"/>
    <x v="138"/>
    <n v="24.224830999999998"/>
    <m/>
    <m/>
    <m/>
    <s v="NA"/>
    <x v="0"/>
    <x v="0"/>
    <s v="Host Families"/>
    <x v="0"/>
    <x v="6"/>
    <x v="2"/>
    <s v="RRD"/>
    <d v="2017-07-11T00:00:00"/>
    <m/>
    <s v="11/Jul/2017: Change status to Close as no update available."/>
    <s v="Shwegu Town"/>
    <n v="2.3794331620169178"/>
    <n v="1"/>
  </r>
  <r>
    <x v="0"/>
    <x v="0"/>
    <s v="MMR001"/>
    <s v="Bhamo"/>
    <s v="MMR001D003"/>
    <x v="6"/>
    <s v="MMR001012"/>
    <s v="Myo Thit"/>
    <s v="MMR001012013"/>
    <s v="Khon Sint"/>
    <n v="167060"/>
    <x v="167"/>
    <x v="169"/>
    <x v="139"/>
    <n v="24.377054000000001"/>
    <m/>
    <n v="3"/>
    <n v="18"/>
    <n v="6"/>
    <x v="0"/>
    <x v="0"/>
    <s v="Host Families"/>
    <x v="2"/>
    <x v="6"/>
    <x v="2"/>
    <s v="RRD"/>
    <d v="2017-08-03T00:00:00"/>
    <m/>
    <s v="WFP"/>
    <s v="Momauk Town"/>
    <n v="13.446032768350749"/>
    <n v="3"/>
  </r>
  <r>
    <x v="1"/>
    <x v="0"/>
    <s v="MMR001"/>
    <s v="Myitkyina"/>
    <s v="MMR001D001"/>
    <x v="2"/>
    <s v="MMR001002"/>
    <s v="Hkat Shu"/>
    <s v="MMR001002003"/>
    <s v="Hkat Shu"/>
    <n v="165735"/>
    <x v="168"/>
    <x v="170"/>
    <x v="140"/>
    <n v="25.328987000000001"/>
    <m/>
    <m/>
    <m/>
    <s v="NA"/>
    <x v="0"/>
    <x v="0"/>
    <s v="Camp"/>
    <x v="1"/>
    <x v="6"/>
    <x v="2"/>
    <m/>
    <m/>
    <m/>
    <s v=" "/>
    <s v=""/>
    <s v=""/>
    <s v=""/>
  </r>
  <r>
    <x v="1"/>
    <x v="0"/>
    <s v="MMR001"/>
    <s v="Bhamo"/>
    <s v="MMR001D003"/>
    <x v="6"/>
    <s v="MMR001012"/>
    <s v="Momauk Town"/>
    <s v="MMR001012701"/>
    <s v="Kyay Nan Waing Ward"/>
    <s v="MMR001012701503"/>
    <x v="169"/>
    <x v="171"/>
    <x v="141"/>
    <n v="24.25177"/>
    <n v="0"/>
    <m/>
    <m/>
    <s v="NA"/>
    <x v="0"/>
    <x v="0"/>
    <s v="Camp"/>
    <x v="0"/>
    <x v="2"/>
    <x v="5"/>
    <s v="IP"/>
    <d v="2014-11-28T00:00:00"/>
    <m/>
    <s v="Closed. Population relocated to Man Bung Catholic Compound (MMR001CMP062)"/>
    <s v=""/>
    <s v=""/>
    <s v=""/>
  </r>
  <r>
    <x v="0"/>
    <x v="1"/>
    <s v="MMR015"/>
    <s v="Kyaukme"/>
    <s v="MMR015D003"/>
    <x v="18"/>
    <s v="MMR015015"/>
    <s v="Namtu Town"/>
    <s v="MMR015015701"/>
    <s v="Namtu Ward"/>
    <s v="MMR015015701501"/>
    <x v="170"/>
    <x v="172"/>
    <x v="142"/>
    <n v="23.094290000000001"/>
    <n v="534.29999999999995"/>
    <n v="45"/>
    <n v="195"/>
    <n v="4.333333333333333"/>
    <x v="0"/>
    <x v="0"/>
    <s v="Camp"/>
    <x v="0"/>
    <x v="7"/>
    <x v="0"/>
    <s v="IP"/>
    <d v="2017-09-30T00:00:00"/>
    <m/>
    <s v="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3"/>
    <s v="MMR015011"/>
    <s v="Kar Lai Kone Hsar"/>
    <s v="MMR015011005"/>
    <s v="Kar Lai"/>
    <n v="208557"/>
    <x v="171"/>
    <x v="173"/>
    <x v="143"/>
    <n v="23.4008"/>
    <n v="0"/>
    <m/>
    <m/>
    <s v="NA"/>
    <x v="0"/>
    <x v="0"/>
    <s v="Camp"/>
    <x v="2"/>
    <x v="24"/>
    <x v="0"/>
    <s v="IP"/>
    <d v="2017-04-27T00:00:00"/>
    <m/>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0"/>
    <s v="MMR001"/>
    <s v="Puta-O"/>
    <s v="MMR001D004"/>
    <x v="19"/>
    <s v="MMR001015"/>
    <s v="Sumprabum Town"/>
    <s v="MMR001015701"/>
    <m/>
    <m/>
    <x v="172"/>
    <x v="174"/>
    <x v="144"/>
    <n v="26.541930000000001"/>
    <n v="1025"/>
    <n v="5"/>
    <n v="32"/>
    <n v="6.4"/>
    <x v="0"/>
    <x v="0"/>
    <s v="Camp like setting"/>
    <x v="2"/>
    <x v="6"/>
    <x v="2"/>
    <s v="RRD"/>
    <d v="2017-07-11T00:00:00"/>
    <m/>
    <m/>
    <s v="Sumprabum Town"/>
    <n v="0.23004407510846425"/>
    <n v="1"/>
  </r>
  <r>
    <x v="0"/>
    <x v="0"/>
    <s v="MMR001"/>
    <s v="Myitkyina"/>
    <s v="MMR001D001"/>
    <x v="2"/>
    <s v="MMR001002"/>
    <s v="Nam Sang Yang"/>
    <s v="MMR001002024"/>
    <m/>
    <m/>
    <x v="173"/>
    <x v="175"/>
    <x v="145"/>
    <n v="24.752471"/>
    <m/>
    <m/>
    <n v="872"/>
    <s v="NA"/>
    <x v="1"/>
    <x v="0"/>
    <s v="Boarding School"/>
    <x v="0"/>
    <x v="6"/>
    <x v="2"/>
    <s v="IRRC"/>
    <d v="2017-01-01T00:00:00"/>
    <m/>
    <s v="In 2014, this school is no longer accepting the lower grade students."/>
    <s v="Laiza town"/>
    <n v="2.3307568207764655"/>
    <n v="1"/>
  </r>
  <r>
    <x v="0"/>
    <x v="1"/>
    <s v="MMR015"/>
    <s v="Muse"/>
    <s v="MMR015D002"/>
    <x v="13"/>
    <s v="MMR015011"/>
    <s v="Kutkai Town"/>
    <s v="MMR015011701"/>
    <s v="No (5) Ward"/>
    <s v="MMR015011701505"/>
    <x v="174"/>
    <x v="176"/>
    <x v="146"/>
    <n v="23.450914000000001"/>
    <n v="4336"/>
    <n v="58"/>
    <n v="277"/>
    <n v="4.7758620689655169"/>
    <x v="0"/>
    <x v="0"/>
    <s v="Camp"/>
    <x v="0"/>
    <x v="18"/>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0"/>
    <s v="MMR001"/>
    <s v="Myitkyina"/>
    <s v="MMR001D001"/>
    <x v="4"/>
    <s v="MMR001005"/>
    <s v="Pang War Town"/>
    <s v="MMR001005702"/>
    <s v="No (2) Ward"/>
    <s v="MMR001005702502"/>
    <x v="175"/>
    <x v="177"/>
    <x v="147"/>
    <n v="25.60867"/>
    <n v="2345"/>
    <n v="57"/>
    <n v="269"/>
    <n v="4.7192982456140351"/>
    <x v="0"/>
    <x v="0"/>
    <s v="Camp"/>
    <x v="2"/>
    <x v="28"/>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1"/>
    <s v="MMR015"/>
    <s v="Muse"/>
    <s v="MMR015D002"/>
    <x v="13"/>
    <s v="MMR015011"/>
    <s v="Kutkai Town"/>
    <s v="MMR015011701"/>
    <s v="No (3) Ward"/>
    <s v="MMR015011701503"/>
    <x v="176"/>
    <x v="178"/>
    <x v="148"/>
    <n v="23.460349999999998"/>
    <n v="4430"/>
    <n v="29"/>
    <n v="138"/>
    <n v="4.7586206896551726"/>
    <x v="0"/>
    <x v="0"/>
    <s v="Camp"/>
    <x v="0"/>
    <x v="18"/>
    <x v="6"/>
    <s v="IP"/>
    <d v="2017-09-30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1"/>
    <x v="0"/>
    <s v="MMR001"/>
    <s v="Bhamo"/>
    <s v="MMR001D003"/>
    <x v="7"/>
    <s v="MMR001013"/>
    <s v="Mung Ding Pa"/>
    <s v="MMR001013038"/>
    <s v="Mung Ding Pa"/>
    <n v="167495"/>
    <x v="177"/>
    <x v="179"/>
    <x v="149"/>
    <n v="23.867000000000001"/>
    <m/>
    <m/>
    <m/>
    <s v="NA"/>
    <x v="1"/>
    <x v="0"/>
    <s v="Camp"/>
    <x v="1"/>
    <x v="6"/>
    <x v="2"/>
    <m/>
    <d v="2014-03-03T00:00:00"/>
    <m/>
    <s v="Closed. Same with (Namhkan St. Thomas 1)"/>
    <s v=""/>
    <s v=""/>
    <s v=""/>
  </r>
  <r>
    <x v="1"/>
    <x v="0"/>
    <s v="MMR001"/>
    <s v="Bhamo"/>
    <s v="MMR001D003"/>
    <x v="7"/>
    <s v="MMR001013"/>
    <s v="Mung Ding Pa"/>
    <s v="MMR001013038"/>
    <m/>
    <m/>
    <x v="178"/>
    <x v="180"/>
    <x v="150"/>
    <n v="24.20645"/>
    <n v="781.8"/>
    <n v="0"/>
    <n v="0"/>
    <s v="NA"/>
    <x v="1"/>
    <x v="0"/>
    <s v="Camp"/>
    <x v="2"/>
    <x v="28"/>
    <x v="2"/>
    <s v="IP"/>
    <d v="2014-01-22T00:00:00"/>
    <m/>
    <s v="Closed: Source UNHCR-Bhamo"/>
    <s v=""/>
    <s v=""/>
    <s v=""/>
  </r>
  <r>
    <x v="0"/>
    <x v="1"/>
    <s v="MMR015"/>
    <s v="Muse"/>
    <s v="MMR015D002"/>
    <x v="13"/>
    <s v="MMR015011"/>
    <s v="Mong Yu"/>
    <s v="MMR015011030"/>
    <s v="Mong Yu"/>
    <n v="208747"/>
    <x v="179"/>
    <x v="181"/>
    <x v="151"/>
    <n v="23.588920000000002"/>
    <n v="1012.5"/>
    <n v="68"/>
    <n v="310"/>
    <n v="4.5588235294117645"/>
    <x v="0"/>
    <x v="0"/>
    <s v="Camp"/>
    <x v="2"/>
    <x v="24"/>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0"/>
    <s v="MMR001"/>
    <s v="Mohnyin"/>
    <s v="MMR001D002"/>
    <x v="1"/>
    <s v="MMR001009"/>
    <s v="Lone Khin"/>
    <s v="MMR001009001"/>
    <s v="Lone Khin"/>
    <n v="166773"/>
    <x v="180"/>
    <x v="182"/>
    <x v="152"/>
    <n v="25.658670000000001"/>
    <n v="0"/>
    <n v="0"/>
    <n v="0"/>
    <s v="NA"/>
    <x v="0"/>
    <x v="0"/>
    <s v="Camp"/>
    <x v="2"/>
    <x v="24"/>
    <x v="2"/>
    <s v="RRD"/>
    <d v="2014-05-15T00:00:00"/>
    <m/>
    <s v="Closed."/>
    <s v=""/>
    <s v=""/>
    <s v=""/>
  </r>
  <r>
    <x v="1"/>
    <x v="0"/>
    <s v="MMR001"/>
    <s v="Myitkyina"/>
    <s v="MMR001D001"/>
    <x v="0"/>
    <s v="MMR001001"/>
    <s v="Myitkyina Town"/>
    <s v="MMR001001701"/>
    <s v="Myay Myint Ward"/>
    <s v="MMR001001701517"/>
    <x v="181"/>
    <x v="183"/>
    <x v="153"/>
    <n v="25.387862999999999"/>
    <n v="0"/>
    <m/>
    <m/>
    <s v="NA"/>
    <x v="0"/>
    <x v="0"/>
    <s v="Camp"/>
    <x v="0"/>
    <x v="3"/>
    <x v="1"/>
    <s v="IP"/>
    <d v="2015-06-25T00:00:00"/>
    <m/>
    <s v="25-Jun-15 Relocate to Shatapru Thida Aye Baptist Church_x000a_Population update: Source: Camp Profile Round 2."/>
    <s v="Myitkyina Town"/>
    <n v="1.3751794210741128"/>
    <n v="1"/>
  </r>
  <r>
    <x v="1"/>
    <x v="0"/>
    <s v="MMR001"/>
    <s v="Bhamo"/>
    <s v="MMR001D003"/>
    <x v="7"/>
    <s v="MMR001013"/>
    <s v="Man Wein"/>
    <s v="MMR001013021"/>
    <m/>
    <m/>
    <x v="182"/>
    <x v="184"/>
    <x v="20"/>
    <m/>
    <m/>
    <n v="0"/>
    <n v="0"/>
    <s v="NA"/>
    <x v="1"/>
    <x v="0"/>
    <s v="Camp"/>
    <x v="1"/>
    <x v="6"/>
    <x v="2"/>
    <s v="IP"/>
    <d v="2014-04-08T00:00:00"/>
    <m/>
    <s v="Closed. Move to Bum Tist Pa II and Man Wing. HH113/Pop837"/>
    <s v=""/>
    <s v=""/>
    <s v=""/>
  </r>
  <r>
    <x v="0"/>
    <x v="0"/>
    <s v="MMR001"/>
    <s v="Bhamo"/>
    <s v="MMR001D003"/>
    <x v="7"/>
    <s v="MMR001013"/>
    <s v="Maing Khaung"/>
    <s v="MMR001013007"/>
    <s v="Maing Khaung"/>
    <n v="167301"/>
    <x v="183"/>
    <x v="185"/>
    <x v="154"/>
    <n v="23.972453000000002"/>
    <n v="466"/>
    <n v="405"/>
    <n v="1855"/>
    <n v="4.5802469135802468"/>
    <x v="0"/>
    <x v="0"/>
    <s v="Camp"/>
    <x v="2"/>
    <x v="32"/>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13"/>
    <s v="MMR015011"/>
    <s v="Long Waun Nam Rein (Tarmoenye Sub-township)"/>
    <s v="MMR015011050"/>
    <s v="Mai Pong (Shu See)"/>
    <m/>
    <x v="184"/>
    <x v="186"/>
    <x v="155"/>
    <n v="23.391741"/>
    <n v="0"/>
    <n v="0"/>
    <n v="0"/>
    <s v="NA"/>
    <x v="0"/>
    <x v="0"/>
    <s v="Camp"/>
    <x v="2"/>
    <x v="26"/>
    <x v="2"/>
    <s v="IP"/>
    <d v="2014-03-03T00:00:00"/>
    <m/>
    <s v="Close. Same with Kutkai Down Town RC. Source UNHCR Bhamo"/>
    <s v=""/>
    <s v=""/>
    <s v=""/>
  </r>
  <r>
    <x v="0"/>
    <x v="1"/>
    <s v="MMR015"/>
    <s v="Muse"/>
    <s v="MMR015D002"/>
    <x v="13"/>
    <s v="MMR015011"/>
    <s v="Kar Lai Kone Hsar"/>
    <s v="MMR015011005"/>
    <s v="Kar Lai"/>
    <n v="208557"/>
    <x v="185"/>
    <x v="187"/>
    <x v="156"/>
    <n v="23.38503"/>
    <n v="0"/>
    <n v="187"/>
    <n v="971"/>
    <n v="5.1925133689839571"/>
    <x v="0"/>
    <x v="0"/>
    <s v="Camp"/>
    <x v="2"/>
    <x v="18"/>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2"/>
    <s v="MMR015009"/>
    <s v="Hpai Kawng"/>
    <s v="MMR015009031"/>
    <s v="Hpai Kawng"/>
    <n v="208156"/>
    <x v="186"/>
    <x v="188"/>
    <x v="157"/>
    <n v="24.08738"/>
    <m/>
    <n v="32"/>
    <n v="187"/>
    <n v="5.84375"/>
    <x v="0"/>
    <x v="0"/>
    <s v="Host Families"/>
    <x v="2"/>
    <x v="6"/>
    <x v="2"/>
    <s v="IRRC"/>
    <d v="2017-06-02T00:00:00"/>
    <m/>
    <s v="2/June/2017: Population updated. Data source: WASH Cluster (dated 7/April_outlook mail)_x000a_Change to Host Families."/>
    <s v="Pang Hseng (Kyu Koke) Town"/>
    <n v="5.5919136174199959"/>
    <n v="2"/>
  </r>
  <r>
    <x v="1"/>
    <x v="0"/>
    <s v="MMR001"/>
    <s v="Bhamo"/>
    <s v="MMR001D003"/>
    <x v="7"/>
    <s v="MMR001013"/>
    <s v="Nam Lin Pa"/>
    <s v="MMR001013037"/>
    <m/>
    <m/>
    <x v="187"/>
    <x v="189"/>
    <x v="158"/>
    <n v="23.75817"/>
    <n v="781.8"/>
    <n v="0"/>
    <n v="0"/>
    <s v="NA"/>
    <x v="1"/>
    <x v="0"/>
    <s v="Camp"/>
    <x v="2"/>
    <x v="28"/>
    <x v="2"/>
    <s v="IP"/>
    <m/>
    <m/>
    <s v="Closed: Source UNHCR-Bhamo"/>
    <s v=""/>
    <s v=""/>
    <s v=""/>
  </r>
  <r>
    <x v="0"/>
    <x v="0"/>
    <s v="MMR001"/>
    <s v="Bhamo"/>
    <s v="MMR001D003"/>
    <x v="7"/>
    <s v="MMR001013"/>
    <s v="Maing Khaung"/>
    <s v="MMR001013007"/>
    <s v="Maing Khaung"/>
    <n v="167301"/>
    <x v="188"/>
    <x v="190"/>
    <x v="159"/>
    <n v="23.976571"/>
    <n v="478"/>
    <n v="173"/>
    <n v="780"/>
    <n v="4.5086705202312141"/>
    <x v="0"/>
    <x v="0"/>
    <s v="Camp"/>
    <x v="2"/>
    <x v="32"/>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7"/>
    <s v="MMR001013"/>
    <s v="Nam Lin Pa"/>
    <s v="MMR001013037"/>
    <m/>
    <m/>
    <x v="189"/>
    <x v="191"/>
    <x v="20"/>
    <m/>
    <m/>
    <n v="0"/>
    <n v="0"/>
    <s v="NA"/>
    <x v="1"/>
    <x v="0"/>
    <s v="Camp"/>
    <x v="1"/>
    <x v="6"/>
    <x v="2"/>
    <s v="IP"/>
    <m/>
    <m/>
    <s v="Closed: Source UNHCR-Bhamo"/>
    <s v=""/>
    <s v=""/>
    <s v=""/>
  </r>
  <r>
    <x v="0"/>
    <x v="0"/>
    <s v="MMR001"/>
    <s v="Myitkyina"/>
    <s v="MMR001D001"/>
    <x v="4"/>
    <s v="MMR001005"/>
    <s v="Lang Jaw"/>
    <s v="MMR001005022"/>
    <s v="Saw Zam"/>
    <m/>
    <x v="190"/>
    <x v="192"/>
    <x v="160"/>
    <n v="25.645959999999999"/>
    <n v="1945"/>
    <n v="30"/>
    <n v="173"/>
    <n v="5.7666666666666666"/>
    <x v="0"/>
    <x v="0"/>
    <s v="Camp"/>
    <x v="0"/>
    <x v="28"/>
    <x v="3"/>
    <s v="IP"/>
    <d v="2017-09-30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7"/>
    <s v="MMR001013"/>
    <s v="Nam Lin Pa"/>
    <s v="MMR001013037"/>
    <m/>
    <m/>
    <x v="191"/>
    <x v="193"/>
    <x v="158"/>
    <n v="23.75817"/>
    <m/>
    <n v="0"/>
    <n v="0"/>
    <s v="NA"/>
    <x v="1"/>
    <x v="0"/>
    <s v="Camp"/>
    <x v="1"/>
    <x v="6"/>
    <x v="2"/>
    <s v="IRRC"/>
    <m/>
    <m/>
    <s v="This IDP are registered in Nam Lim pa (Boarder) (MMR001CMP204). We should not calculate this number in total. "/>
    <s v=""/>
    <s v=""/>
    <s v=""/>
  </r>
  <r>
    <x v="0"/>
    <x v="0"/>
    <s v="MMR001"/>
    <s v="Puta-O"/>
    <s v="MMR001D004"/>
    <x v="9"/>
    <s v="MMR001014"/>
    <s v="Lang Taung"/>
    <s v="MMR001014009"/>
    <s v="Inn Lel Yan"/>
    <n v="217032"/>
    <x v="192"/>
    <x v="194"/>
    <x v="161"/>
    <n v="27.248964999999998"/>
    <n v="398"/>
    <n v="10"/>
    <n v="56"/>
    <n v="5.6"/>
    <x v="0"/>
    <x v="0"/>
    <s v="Host Families"/>
    <x v="2"/>
    <x v="27"/>
    <x v="2"/>
    <s v="IP"/>
    <d v="2014-04-07T00:00:00"/>
    <d v="2017-07-11T00:00:00"/>
    <s v="Not updated due to lack of access._x000a_New host families."/>
    <s v="Machanbaw Town"/>
    <n v="4.789460146835963"/>
    <n v="1"/>
  </r>
  <r>
    <x v="0"/>
    <x v="0"/>
    <s v="MMR001"/>
    <s v="Bhamo"/>
    <s v="MMR001D003"/>
    <x v="7"/>
    <s v="MMR001013"/>
    <s v="Man Wein"/>
    <s v="MMR001013021"/>
    <s v="Man Wein"/>
    <n v="167405"/>
    <x v="193"/>
    <x v="195"/>
    <x v="162"/>
    <n v="23.833477999999999"/>
    <n v="925"/>
    <n v="143"/>
    <n v="638"/>
    <n v="4.4615384615384617"/>
    <x v="0"/>
    <x v="0"/>
    <s v="Camp"/>
    <x v="2"/>
    <x v="33"/>
    <x v="5"/>
    <s v="IP"/>
    <d v="2017-09-30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
    <s v="MMR001009"/>
    <s v="Nam Ma Hpyit"/>
    <s v="MMR001009002"/>
    <s v="Nam Ma Hpyit"/>
    <n v="166776"/>
    <x v="194"/>
    <x v="196"/>
    <x v="163"/>
    <n v="25.611160000000002"/>
    <m/>
    <n v="103"/>
    <n v="498"/>
    <n v="4.8349514563106792"/>
    <x v="0"/>
    <x v="0"/>
    <s v="Camp"/>
    <x v="0"/>
    <x v="20"/>
    <x v="0"/>
    <s v="IP"/>
    <d v="2017-09-30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7"/>
    <s v="MMR001013"/>
    <s v="Man Wein"/>
    <s v="MMR001013021"/>
    <s v="Man Wein"/>
    <n v="167405"/>
    <x v="195"/>
    <x v="197"/>
    <x v="164"/>
    <n v="23.829599000000002"/>
    <m/>
    <n v="115"/>
    <n v="538"/>
    <n v="4.678260869565217"/>
    <x v="0"/>
    <x v="0"/>
    <s v="Camp"/>
    <x v="2"/>
    <x v="34"/>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
    <s v="MMR001009"/>
    <s v="Lone Khin"/>
    <s v="MMR001009001"/>
    <s v="Ku Day"/>
    <n v="216877"/>
    <x v="196"/>
    <x v="198"/>
    <x v="165"/>
    <n v="25.806999999999999"/>
    <m/>
    <m/>
    <m/>
    <s v="NA"/>
    <x v="0"/>
    <x v="0"/>
    <s v="Camp"/>
    <x v="2"/>
    <x v="35"/>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1"/>
    <s v="MMR001007"/>
    <s v="Hopin Town"/>
    <s v="MMR001007702"/>
    <s v="Myo Ma (South) Ward"/>
    <s v="MMR001007702503"/>
    <x v="197"/>
    <x v="199"/>
    <x v="166"/>
    <n v="24.996279999999999"/>
    <m/>
    <n v="27"/>
    <n v="121"/>
    <n v="4.4814814814814818"/>
    <x v="0"/>
    <x v="0"/>
    <s v="Host Families"/>
    <x v="0"/>
    <x v="24"/>
    <x v="2"/>
    <s v="IP"/>
    <d v="2017-04-24T00:00:00"/>
    <m/>
    <s v="24/Apr/2017: Population update. Data source: CCCM unit_x000a_19-Mar-2015 (WFP has been providing this host families since 2013.)"/>
    <s v="Hopin Town"/>
    <n v="0"/>
    <n v="1"/>
  </r>
  <r>
    <x v="0"/>
    <x v="0"/>
    <s v="MMR001"/>
    <s v="Mohnyin"/>
    <s v="MMR001D002"/>
    <x v="11"/>
    <s v="MMR001007"/>
    <s v="Mohnyin Town"/>
    <s v="MMR001007701"/>
    <m/>
    <m/>
    <x v="198"/>
    <x v="200"/>
    <x v="167"/>
    <n v="24.764959999999999"/>
    <m/>
    <n v="14"/>
    <n v="63"/>
    <n v="4.5"/>
    <x v="0"/>
    <x v="0"/>
    <s v="Host Families"/>
    <x v="0"/>
    <x v="24"/>
    <x v="2"/>
    <s v="IP"/>
    <d v="2017-04-24T00:00:00"/>
    <m/>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9"/>
    <s v="MMR001014"/>
    <s v="Puta-O Town"/>
    <s v="MMR001014701"/>
    <s v="Lone Sut Ward"/>
    <s v="MMR001014701510"/>
    <x v="199"/>
    <x v="201"/>
    <x v="168"/>
    <n v="27.337499999999999"/>
    <m/>
    <n v="61"/>
    <n v="281"/>
    <n v="4.6065573770491799"/>
    <x v="0"/>
    <x v="0"/>
    <s v="Camp"/>
    <x v="0"/>
    <x v="36"/>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10"/>
    <s v="MMR001008"/>
    <s v="Sar Hmaw"/>
    <s v="MMR001008018"/>
    <s v="Sar Hmaw"/>
    <n v="166724"/>
    <x v="200"/>
    <x v="202"/>
    <x v="169"/>
    <n v="25.225000000000001"/>
    <m/>
    <m/>
    <m/>
    <s v="NA"/>
    <x v="0"/>
    <x v="0"/>
    <s v="Host Families"/>
    <x v="2"/>
    <x v="37"/>
    <x v="2"/>
    <s v="RRD"/>
    <d v="2017-07-11T00:00:00"/>
    <m/>
    <s v="11/Jul/2017: Closed camp. No update information._x000a_25-Jun-2015 (New host families. Source: RRD)"/>
    <s v="Mogaung Town"/>
    <n v="5"/>
    <n v="2"/>
  </r>
  <r>
    <x v="0"/>
    <x v="0"/>
    <s v="MMR001"/>
    <s v="Mohnyin"/>
    <s v="MMR001D002"/>
    <x v="10"/>
    <s v="MMR001008"/>
    <s v="Sar Hmaw"/>
    <s v="MMR001008018"/>
    <s v="Sar Hmaw"/>
    <n v="166724"/>
    <x v="201"/>
    <x v="203"/>
    <x v="169"/>
    <n v="25.225000000000001"/>
    <m/>
    <n v="28"/>
    <n v="133"/>
    <n v="4.75"/>
    <x v="0"/>
    <x v="0"/>
    <s v="Camp"/>
    <x v="2"/>
    <x v="37"/>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0"/>
    <x v="0"/>
    <s v="MMR001"/>
    <s v="Mohnyin"/>
    <s v="MMR001D002"/>
    <x v="10"/>
    <s v="MMR001008"/>
    <s v="Nawng Kaing Htaw"/>
    <s v="MMR001008002"/>
    <s v="Ma Haung"/>
    <n v="166676"/>
    <x v="202"/>
    <x v="204"/>
    <x v="67"/>
    <n v="25.299679999999999"/>
    <m/>
    <n v="7"/>
    <n v="31"/>
    <n v="4.4285714285714288"/>
    <x v="0"/>
    <x v="0"/>
    <s v="Camp like setting"/>
    <x v="0"/>
    <x v="37"/>
    <x v="2"/>
    <s v="IP"/>
    <d v="2017-06-29T00:00:00"/>
    <m/>
    <s v="29/June/2017: Population update. Planning to local integration through KMSS_Myitkyina. There is no responsible org now.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9"/>
    <s v="MMR001015"/>
    <m/>
    <m/>
    <m/>
    <m/>
    <x v="203"/>
    <x v="205"/>
    <x v="170"/>
    <n v="26.569633"/>
    <m/>
    <n v="70"/>
    <n v="407"/>
    <n v="5.8142857142857141"/>
    <x v="1"/>
    <x v="0"/>
    <s v="Camp"/>
    <x v="2"/>
    <x v="38"/>
    <x v="0"/>
    <s v="IP"/>
    <d v="2017-09-30T00:00:00"/>
    <m/>
    <s v="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9"/>
    <s v="MMR001015"/>
    <m/>
    <m/>
    <m/>
    <m/>
    <x v="204"/>
    <x v="206"/>
    <x v="171"/>
    <n v="26.548506"/>
    <m/>
    <n v="63"/>
    <n v="325"/>
    <n v="5.1587301587301591"/>
    <x v="1"/>
    <x v="0"/>
    <s v="Camp"/>
    <x v="2"/>
    <x v="38"/>
    <x v="0"/>
    <s v="IP"/>
    <d v="2017-09-30T00:00:00"/>
    <m/>
    <s v="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6"/>
    <s v="MMR001012"/>
    <s v="Dawthponeyan  Town"/>
    <s v="MMR001012703"/>
    <s v="No (2) Ward"/>
    <s v="MMR001012703502"/>
    <x v="205"/>
    <x v="207"/>
    <x v="172"/>
    <n v="24.613976000000001"/>
    <m/>
    <m/>
    <m/>
    <s v="NA"/>
    <x v="0"/>
    <x v="0"/>
    <s v="Boarding School"/>
    <x v="2"/>
    <x v="6"/>
    <x v="2"/>
    <s v="WFP"/>
    <d v="2017-07-11T00:00:00"/>
    <m/>
    <s v="11/Jul/2017: Closed camp. No update information since Nov 2015._x000a_9/Nov/2015. Population update. Data source: mail from WFP._x000a_New added Boarding School"/>
    <s v="Dawthponeyan  Town"/>
    <n v="0"/>
    <n v="1"/>
  </r>
  <r>
    <x v="1"/>
    <x v="1"/>
    <s v="MMR015"/>
    <s v="Muse"/>
    <s v="MMR015D002"/>
    <x v="3"/>
    <s v="MMR015010"/>
    <s v="Nawng Hkam"/>
    <s v="MMR015010010"/>
    <s v="Nawng Hkam"/>
    <n v="208353"/>
    <x v="206"/>
    <x v="208"/>
    <x v="173"/>
    <n v="23.82152"/>
    <n v="813.4"/>
    <n v="0"/>
    <n v="0"/>
    <s v="NA"/>
    <x v="1"/>
    <x v="0"/>
    <s v="Camp"/>
    <x v="1"/>
    <x v="6"/>
    <x v="5"/>
    <s v="IP"/>
    <d v="2014-03-14T00:00:00"/>
    <m/>
    <s v="Closed. Source Cluster Coordinator"/>
    <s v=""/>
    <s v=""/>
    <s v=""/>
  </r>
  <r>
    <x v="1"/>
    <x v="0"/>
    <s v="MMR001"/>
    <s v="Myitkyina"/>
    <s v="MMR001D001"/>
    <x v="1"/>
    <s v="MMR001004"/>
    <s v="Wa Ra Zut"/>
    <s v="MMR001009009"/>
    <s v="Wa Ra Zut"/>
    <n v="166818"/>
    <x v="207"/>
    <x v="209"/>
    <x v="165"/>
    <n v="25.806999999999999"/>
    <m/>
    <m/>
    <m/>
    <s v="NA"/>
    <x v="0"/>
    <x v="0"/>
    <s v="Camp"/>
    <x v="2"/>
    <x v="39"/>
    <x v="2"/>
    <s v="IP"/>
    <d v="2017-07-11T00:00:00"/>
    <m/>
    <s v="11/Jul/2017: Change status into closed: Data source: KBC_x000a_25/Jul/2016: Added as new camp according to KBC data. Data was given by Jade"/>
    <s v="Hpakant Town"/>
    <n v="0"/>
    <n v="1"/>
  </r>
  <r>
    <x v="1"/>
    <x v="0"/>
    <s v="MMR001"/>
    <s v="Mohnyin"/>
    <s v="MMR001D002"/>
    <x v="11"/>
    <s v="MMR001007"/>
    <s v="Nam Mun"/>
    <s v="MMR001007016"/>
    <s v="Nam Mun"/>
    <n v="166591"/>
    <x v="208"/>
    <x v="210"/>
    <x v="113"/>
    <n v="24.998349999999999"/>
    <n v="0"/>
    <n v="0"/>
    <n v="0"/>
    <s v="NA"/>
    <x v="0"/>
    <x v="0"/>
    <s v="Camp"/>
    <x v="2"/>
    <x v="22"/>
    <x v="0"/>
    <s v="RRD"/>
    <d v="2014-07-17T00:00:00"/>
    <m/>
    <s v="Closed. Duplicate with (Nawng Ing (Indawgyi) Baptist Church)"/>
    <s v=""/>
    <s v=""/>
    <s v=""/>
  </r>
  <r>
    <x v="0"/>
    <x v="0"/>
    <m/>
    <s v="Myitkyina"/>
    <m/>
    <x v="20"/>
    <m/>
    <s v="Tanai"/>
    <m/>
    <m/>
    <m/>
    <x v="209"/>
    <x v="211"/>
    <x v="20"/>
    <m/>
    <m/>
    <n v="44"/>
    <n v="150"/>
    <n v="3.4090909090909092"/>
    <x v="0"/>
    <x v="0"/>
    <s v="Camp like setting"/>
    <x v="0"/>
    <x v="40"/>
    <x v="2"/>
    <s v="IP"/>
    <s v="29-06-17"/>
    <m/>
    <m/>
    <s v=""/>
    <s v=""/>
    <s v=""/>
  </r>
  <r>
    <x v="0"/>
    <x v="0"/>
    <m/>
    <s v="Myitkyina"/>
    <m/>
    <x v="20"/>
    <m/>
    <s v="Tanai"/>
    <m/>
    <m/>
    <m/>
    <x v="210"/>
    <x v="212"/>
    <x v="20"/>
    <m/>
    <m/>
    <n v="52"/>
    <n v="219"/>
    <n v="4.2115384615384617"/>
    <x v="0"/>
    <x v="0"/>
    <s v="Camp like setting"/>
    <x v="0"/>
    <x v="40"/>
    <x v="2"/>
    <s v="IP"/>
    <s v="29-06-17"/>
    <m/>
    <m/>
    <s v=""/>
    <s v=""/>
    <s v=""/>
  </r>
  <r>
    <x v="0"/>
    <x v="0"/>
    <m/>
    <s v="Myitkyina"/>
    <m/>
    <x v="20"/>
    <m/>
    <s v="Tanai"/>
    <m/>
    <m/>
    <m/>
    <x v="211"/>
    <x v="213"/>
    <x v="20"/>
    <m/>
    <m/>
    <n v="157"/>
    <n v="486"/>
    <n v="3.0955414012738856"/>
    <x v="0"/>
    <x v="0"/>
    <s v="Camp like setting"/>
    <x v="0"/>
    <x v="40"/>
    <x v="2"/>
    <s v="IP"/>
    <s v="29-06-17"/>
    <m/>
    <m/>
    <s v=""/>
    <s v=""/>
    <s v=""/>
  </r>
  <r>
    <x v="0"/>
    <x v="0"/>
    <m/>
    <s v="Myitkyina"/>
    <m/>
    <x v="20"/>
    <m/>
    <s v="Tanai"/>
    <m/>
    <m/>
    <m/>
    <x v="212"/>
    <x v="214"/>
    <x v="20"/>
    <m/>
    <m/>
    <n v="36"/>
    <n v="137"/>
    <n v="3.8055555555555554"/>
    <x v="0"/>
    <x v="0"/>
    <s v="Camp like setting"/>
    <x v="0"/>
    <x v="40"/>
    <x v="2"/>
    <s v="IP"/>
    <s v="29-06-17"/>
    <m/>
    <m/>
    <s v=""/>
    <s v=""/>
    <s v=""/>
  </r>
  <r>
    <x v="0"/>
    <x v="0"/>
    <s v="MMR001"/>
    <s v="Mohnyin"/>
    <s v="MMR001D002"/>
    <x v="1"/>
    <s v="MMR001009"/>
    <s v="Wa Ra Zut"/>
    <s v="MMR001009009"/>
    <s v="Shar Du Zut"/>
    <n v="166819"/>
    <x v="213"/>
    <x v="215"/>
    <x v="32"/>
    <n v="25.920006000000001"/>
    <m/>
    <n v="28"/>
    <n v="111"/>
    <n v="3.9642857142857144"/>
    <x v="0"/>
    <x v="0"/>
    <s v="Camp"/>
    <x v="2"/>
    <x v="14"/>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Puta-O"/>
    <s v="MMR001D004"/>
    <x v="9"/>
    <s v="MMR001014"/>
    <s v="Lang Taung"/>
    <s v="MMR001014009"/>
    <s v="Nawng Hkaing"/>
    <n v="167567"/>
    <x v="214"/>
    <x v="216"/>
    <x v="174"/>
    <n v="27.270199999999999"/>
    <n v="372.9"/>
    <n v="0"/>
    <n v="0"/>
    <s v="NA"/>
    <x v="0"/>
    <x v="0"/>
    <s v="Camp"/>
    <x v="2"/>
    <x v="27"/>
    <x v="2"/>
    <s v="IP"/>
    <d v="2014-03-27T00:00:00"/>
    <m/>
    <s v="25-Jun-15 (Relocated to Lone Sut)_x000a_Geo-Info, HH/Pop data received from MIRA Form"/>
    <s v="Machanbaw Town"/>
    <n v="1.7005689699647599"/>
    <n v="1"/>
  </r>
  <r>
    <x v="0"/>
    <x v="0"/>
    <s v="MMR001"/>
    <s v="Mohnyin"/>
    <s v="MMR001D002"/>
    <x v="1"/>
    <s v="MMR001009"/>
    <s v="Wa Ra Zut"/>
    <s v="MMR001009009"/>
    <s v="Shar Du Zut"/>
    <n v="166819"/>
    <x v="215"/>
    <x v="217"/>
    <x v="32"/>
    <n v="25.920006000000001"/>
    <m/>
    <n v="6"/>
    <n v="15"/>
    <n v="2.5"/>
    <x v="0"/>
    <x v="0"/>
    <s v="Camp"/>
    <x v="2"/>
    <x v="14"/>
    <x v="3"/>
    <s v="IP"/>
    <d v="2017-09-30T00:00:00"/>
    <m/>
    <s v="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
    <s v="MMR001009"/>
    <s v="Wa Ra Zut"/>
    <s v="MMR001009009"/>
    <s v="Shar Du Zut"/>
    <n v="166819"/>
    <x v="216"/>
    <x v="218"/>
    <x v="32"/>
    <n v="25.920006000000001"/>
    <m/>
    <n v="18"/>
    <n v="78"/>
    <n v="4.333333333333333"/>
    <x v="0"/>
    <x v="0"/>
    <s v="Camp"/>
    <x v="2"/>
    <x v="14"/>
    <x v="3"/>
    <s v="IP"/>
    <d v="2017-09-30T00:00:00"/>
    <m/>
    <s v="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2"/>
    <s v="MMR001002"/>
    <s v="Moke Lwe"/>
    <s v="MMR001002002"/>
    <s v="Khar Shi"/>
    <n v="216822"/>
    <x v="217"/>
    <x v="219"/>
    <x v="175"/>
    <n v="25.305008999999998"/>
    <m/>
    <n v="62"/>
    <n v="410"/>
    <n v="6.612903225806452"/>
    <x v="0"/>
    <x v="0"/>
    <s v="Camp like setting"/>
    <x v="2"/>
    <x v="6"/>
    <x v="2"/>
    <s v="WV"/>
    <d v="2017-06-02T00:00:00"/>
    <m/>
    <s v="2/June/2017: New added camp. Data source: WASH cluster, WV (World Vision)."/>
    <s v=""/>
    <s v=""/>
    <s v=""/>
  </r>
  <r>
    <x v="0"/>
    <x v="0"/>
    <s v="MMR001"/>
    <s v="Myitkyina"/>
    <s v="MMR001D001"/>
    <x v="2"/>
    <s v="MMR001002"/>
    <s v="Sa Ma"/>
    <s v="MMR001002031"/>
    <s v="Par Jaung"/>
    <n v="165792"/>
    <x v="218"/>
    <x v="220"/>
    <x v="20"/>
    <m/>
    <m/>
    <n v="408"/>
    <n v="1888"/>
    <n v="4.6274509803921573"/>
    <x v="1"/>
    <x v="0"/>
    <s v="Camp"/>
    <x v="2"/>
    <x v="41"/>
    <x v="0"/>
    <s v="IP"/>
    <d v="2017-09-30T00:00:00"/>
    <m/>
    <s v="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
    <s v=""/>
    <s v=""/>
  </r>
  <r>
    <x v="0"/>
    <x v="0"/>
    <s v="MMR001"/>
    <s v="Mohnyin"/>
    <s v="MMR001D002"/>
    <x v="1"/>
    <s v="MMR001009"/>
    <s v="Lone Khin"/>
    <s v="MMR001009001"/>
    <s v="Lel Pyin"/>
    <n v="220486"/>
    <x v="219"/>
    <x v="221"/>
    <x v="20"/>
    <m/>
    <m/>
    <n v="118"/>
    <n v="618"/>
    <n v="5.2372881355932206"/>
    <x v="0"/>
    <x v="0"/>
    <s v="Camp"/>
    <x v="2"/>
    <x v="42"/>
    <x v="0"/>
    <s v="IP"/>
    <d v="2017-09-30T00:00:00"/>
    <m/>
    <s v="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s v=""/>
    <s v=""/>
    <s v=""/>
  </r>
  <r>
    <x v="1"/>
    <x v="0"/>
    <s v="MMR001"/>
    <s v="Myitkyina"/>
    <s v="MMR001D001"/>
    <x v="2"/>
    <s v="MMR001002"/>
    <s v="Nawng Si Paw"/>
    <s v="MMR001002013"/>
    <s v="Nawng Si Paw"/>
    <n v="165750"/>
    <x v="220"/>
    <x v="222"/>
    <x v="20"/>
    <m/>
    <m/>
    <m/>
    <m/>
    <s v="NA"/>
    <x v="0"/>
    <x v="0"/>
    <s v="Camp"/>
    <x v="1"/>
    <x v="6"/>
    <x v="2"/>
    <m/>
    <m/>
    <m/>
    <s v=" "/>
    <s v=""/>
    <s v=""/>
    <s v=""/>
  </r>
  <r>
    <x v="1"/>
    <x v="1"/>
    <s v="MMR015"/>
    <s v="Muse"/>
    <s v="MMR015D002"/>
    <x v="12"/>
    <s v="MMR015009"/>
    <s v="Man Nway (Pang Hseng (Kyu Koke)) Sub-township"/>
    <s v="MMR015009036"/>
    <s v="Nam Hkawng Khu"/>
    <n v="208182"/>
    <x v="221"/>
    <x v="223"/>
    <x v="176"/>
    <n v="23.933098999999999"/>
    <n v="0"/>
    <n v="9"/>
    <n v="44"/>
    <n v="4.8888888888888893"/>
    <x v="1"/>
    <x v="0"/>
    <s v="Camp like setting"/>
    <x v="2"/>
    <x v="26"/>
    <x v="2"/>
    <s v="IP"/>
    <d v="2017-06-02T00:00:00"/>
    <m/>
    <s v="Closed as of 1st of September 2017"/>
    <s v=""/>
    <s v=""/>
    <s v=""/>
  </r>
  <r>
    <x v="0"/>
    <x v="1"/>
    <s v="MMR015"/>
    <s v="Lashio"/>
    <s v="MMR015D001"/>
    <x v="21"/>
    <s v="MMR015002"/>
    <s v="Nar Tee"/>
    <s v="MMR015002029"/>
    <s v="Nar Tee"/>
    <n v="206422"/>
    <x v="222"/>
    <x v="224"/>
    <x v="177"/>
    <n v="23.372409999999999"/>
    <n v="617.6"/>
    <n v="67"/>
    <n v="392"/>
    <n v="5.8507462686567164"/>
    <x v="1"/>
    <x v="0"/>
    <s v="Host Families"/>
    <x v="2"/>
    <x v="29"/>
    <x v="2"/>
    <s v="IP"/>
    <d v="2014-03-01T00:00:00"/>
    <d v="2017-07-11T00:00:00"/>
    <s v="Lack of access. Not updated since Mar/2014._x000a_Change to Host Families."/>
    <s v="Kunlong Town"/>
    <n v="30.037709702375544"/>
    <n v="7"/>
  </r>
  <r>
    <x v="1"/>
    <x v="0"/>
    <s v="MMR001"/>
    <s v="Mohnyin"/>
    <s v="MMR001D002"/>
    <x v="1"/>
    <s v="MMR001009"/>
    <s v="Hpakan Town"/>
    <s v="MMR001009701"/>
    <s v="Hnget Pyaw Taw Ward"/>
    <s v="MMR001009701502"/>
    <x v="223"/>
    <x v="225"/>
    <x v="163"/>
    <n v="25.611160000000002"/>
    <n v="0"/>
    <n v="0"/>
    <n v="0"/>
    <s v="NA"/>
    <x v="0"/>
    <x v="0"/>
    <s v="Camp"/>
    <x v="0"/>
    <x v="20"/>
    <x v="0"/>
    <s v="IP"/>
    <d v="2014-05-15T00:00:00"/>
    <m/>
    <s v="Closed.Moved to Na Ma Pyit KBC."/>
    <s v=""/>
    <s v=""/>
    <s v=""/>
  </r>
  <r>
    <x v="0"/>
    <x v="1"/>
    <s v="MMR015"/>
    <s v="Kyaukme"/>
    <s v="MMR015D003"/>
    <x v="14"/>
    <s v="MMR015019"/>
    <s v="Urban"/>
    <s v="MMR015019701"/>
    <s v="No (2) Ward"/>
    <s v="MMR015019701503"/>
    <x v="224"/>
    <x v="226"/>
    <x v="178"/>
    <n v="23.24661"/>
    <n v="87.3"/>
    <n v="29"/>
    <n v="168"/>
    <n v="5.7931034482758621"/>
    <x v="0"/>
    <x v="0"/>
    <s v="Camp"/>
    <x v="0"/>
    <x v="11"/>
    <x v="6"/>
    <s v="IP"/>
    <d v="2017-09-30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8"/>
    <s v="MMR015015"/>
    <s v="Namtu Town"/>
    <s v="MMR015015701"/>
    <s v="Namtu Ward"/>
    <s v="MMR015015701501"/>
    <x v="225"/>
    <x v="227"/>
    <x v="179"/>
    <n v="23.088058"/>
    <n v="1948"/>
    <n v="118"/>
    <n v="520"/>
    <n v="4.406779661016949"/>
    <x v="0"/>
    <x v="0"/>
    <s v="Host Families"/>
    <x v="0"/>
    <x v="6"/>
    <x v="2"/>
    <s v="IP"/>
    <d v="2014-09-01T00:00:00"/>
    <m/>
    <s v="18th - 19th May joint assessment of OCHA and UNHCR, population returned to place of origin. Location is closed. Change to Host Families. Source: Programme Unit."/>
    <s v="Namtu Town"/>
    <n v="0.63626694856259092"/>
    <n v="1"/>
  </r>
  <r>
    <x v="1"/>
    <x v="1"/>
    <s v="MMR015"/>
    <s v="Muse"/>
    <s v="MMR015D002"/>
    <x v="13"/>
    <s v="MMR015011"/>
    <s v="Galeng"/>
    <m/>
    <s v="Galeng"/>
    <m/>
    <x v="226"/>
    <x v="228"/>
    <x v="20"/>
    <m/>
    <m/>
    <n v="0"/>
    <n v="0"/>
    <s v="NA"/>
    <x v="1"/>
    <x v="0"/>
    <s v="Camp"/>
    <x v="2"/>
    <x v="6"/>
    <x v="2"/>
    <s v="IP"/>
    <d v="2013-01-15T00:00:00"/>
    <m/>
    <s v="Close: Duplicate Camp (MMR015CMP020 - Zup Aung Camp) 21-Jan-14"/>
    <s v=""/>
    <s v=""/>
    <s v=""/>
  </r>
  <r>
    <x v="1"/>
    <x v="0"/>
    <s v="MMR001"/>
    <s v="Mohnyin"/>
    <s v="MMR001D002"/>
    <x v="1"/>
    <s v="MMR001009"/>
    <s v="Hpakan Town"/>
    <s v="MMR001009701"/>
    <s v="Hnget Pyaw Taw Ward"/>
    <s v="MMR001009701502"/>
    <x v="227"/>
    <x v="229"/>
    <x v="180"/>
    <n v="25.611899999999999"/>
    <m/>
    <n v="0"/>
    <n v="0"/>
    <s v="NA"/>
    <x v="0"/>
    <x v="0"/>
    <s v="Camp"/>
    <x v="1"/>
    <x v="6"/>
    <x v="2"/>
    <m/>
    <m/>
    <m/>
    <s v=" "/>
    <s v=""/>
    <s v=""/>
    <s v=""/>
  </r>
  <r>
    <x v="1"/>
    <x v="0"/>
    <s v="MMR001"/>
    <s v="Bhamo"/>
    <s v="MMR001D003"/>
    <x v="6"/>
    <s v="MMR001012"/>
    <s v="Momauk Town"/>
    <s v="MMR001012701"/>
    <s v="Ah Lin Kawng Ward"/>
    <s v="MMR001012701502"/>
    <x v="228"/>
    <x v="230"/>
    <x v="181"/>
    <n v="24.253769999999999"/>
    <n v="0"/>
    <m/>
    <m/>
    <s v="NA"/>
    <x v="0"/>
    <x v="0"/>
    <s v="Camp"/>
    <x v="0"/>
    <x v="3"/>
    <x v="1"/>
    <s v="IP"/>
    <d v="2016-06-16T00:00:00"/>
    <m/>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Mohnyin"/>
    <s v="MMR001D002"/>
    <x v="1"/>
    <s v="MMR001009"/>
    <s v="Hpakan Town"/>
    <s v="MMR001009701"/>
    <s v="Myo Ma Ward"/>
    <s v="MMR001009701503"/>
    <x v="229"/>
    <x v="231"/>
    <x v="20"/>
    <m/>
    <m/>
    <n v="0"/>
    <n v="0"/>
    <s v="NA"/>
    <x v="0"/>
    <x v="0"/>
    <s v="Camp"/>
    <x v="1"/>
    <x v="6"/>
    <x v="2"/>
    <m/>
    <m/>
    <m/>
    <s v=" "/>
    <s v=""/>
    <s v=""/>
    <s v=""/>
  </r>
  <r>
    <x v="1"/>
    <x v="1"/>
    <s v="MMR015"/>
    <s v="Muse"/>
    <s v="MMR015D002"/>
    <x v="13"/>
    <s v="MMR015011"/>
    <s v="Galeng"/>
    <m/>
    <s v="Galeng"/>
    <m/>
    <x v="230"/>
    <x v="232"/>
    <x v="20"/>
    <m/>
    <m/>
    <n v="0"/>
    <n v="0"/>
    <s v="NA"/>
    <x v="1"/>
    <x v="0"/>
    <s v="Camp"/>
    <x v="2"/>
    <x v="6"/>
    <x v="2"/>
    <s v="IP"/>
    <d v="2013-01-15T00:00:00"/>
    <m/>
    <s v="Close: Duplicate Camp (MMR015CMP015 - Kone Khem Camp) 21-Jan-14"/>
    <s v=""/>
    <s v=""/>
    <s v=""/>
  </r>
  <r>
    <x v="1"/>
    <x v="0"/>
    <s v="MMR001"/>
    <s v="Mohnyin"/>
    <s v="MMR001D002"/>
    <x v="1"/>
    <s v="MMR001009"/>
    <m/>
    <m/>
    <m/>
    <m/>
    <x v="231"/>
    <x v="233"/>
    <x v="20"/>
    <m/>
    <m/>
    <n v="0"/>
    <n v="0"/>
    <s v="NA"/>
    <x v="0"/>
    <x v="0"/>
    <s v="Camp"/>
    <x v="1"/>
    <x v="6"/>
    <x v="2"/>
    <m/>
    <m/>
    <m/>
    <m/>
    <s v=""/>
    <s v=""/>
    <s v=""/>
  </r>
  <r>
    <x v="0"/>
    <x v="1"/>
    <s v="MMR015"/>
    <s v="Muse"/>
    <s v="MMR015D002"/>
    <x v="12"/>
    <s v="MMR015009"/>
    <s v="Muse Town"/>
    <s v="MMR015009701"/>
    <s v="Ho Mun Ward"/>
    <s v="MMR015009701504"/>
    <x v="232"/>
    <x v="234"/>
    <x v="182"/>
    <n v="24.006319999999999"/>
    <n v="812.7"/>
    <n v="44"/>
    <n v="190"/>
    <n v="4.3181818181818183"/>
    <x v="0"/>
    <x v="0"/>
    <s v="Camp"/>
    <x v="0"/>
    <x v="43"/>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3"/>
    <s v="MMR015010"/>
    <s v="Nawng Hkam"/>
    <s v="MMR015010010"/>
    <s v="Nawng Hkam"/>
    <n v="208353"/>
    <x v="233"/>
    <x v="235"/>
    <x v="183"/>
    <n v="23.841646999999998"/>
    <n v="798"/>
    <n v="35"/>
    <n v="177"/>
    <n v="5.0571428571428569"/>
    <x v="0"/>
    <x v="0"/>
    <s v="Camp"/>
    <x v="0"/>
    <x v="44"/>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3"/>
    <s v="MMR015010"/>
    <s v="Ho Nar"/>
    <s v="MMR015010002"/>
    <s v="Pang Long"/>
    <n v="208338"/>
    <x v="234"/>
    <x v="236"/>
    <x v="184"/>
    <n v="23.838190000000001"/>
    <n v="829.8"/>
    <n v="117"/>
    <n v="545"/>
    <n v="4.6581196581196584"/>
    <x v="0"/>
    <x v="0"/>
    <s v="Camp"/>
    <x v="0"/>
    <x v="45"/>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1"/>
    <x v="0"/>
    <s v="MMR001"/>
    <s v="Mohnyin"/>
    <s v="MMR001D002"/>
    <x v="1"/>
    <s v="MMR001009"/>
    <m/>
    <m/>
    <m/>
    <m/>
    <x v="235"/>
    <x v="237"/>
    <x v="20"/>
    <m/>
    <m/>
    <n v="0"/>
    <n v="0"/>
    <s v="NA"/>
    <x v="0"/>
    <x v="0"/>
    <s v="Camp"/>
    <x v="1"/>
    <x v="6"/>
    <x v="2"/>
    <m/>
    <m/>
    <m/>
    <s v=" "/>
    <s v=""/>
    <s v=""/>
    <s v=""/>
  </r>
  <r>
    <x v="0"/>
    <x v="1"/>
    <s v="MMR015"/>
    <s v="Muse"/>
    <s v="MMR015D002"/>
    <x v="12"/>
    <s v="MMR015009"/>
    <s v="Muse Town"/>
    <s v="MMR015009701"/>
    <s v="Ho Mun Ward"/>
    <s v="MMR015009701504"/>
    <x v="236"/>
    <x v="238"/>
    <x v="185"/>
    <n v="24.006789000000001"/>
    <n v="814"/>
    <n v="22"/>
    <n v="106"/>
    <n v="4.8181818181818183"/>
    <x v="0"/>
    <x v="0"/>
    <s v="Camp"/>
    <x v="0"/>
    <x v="46"/>
    <x v="6"/>
    <s v="IP"/>
    <d v="2017-09-30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3"/>
    <s v="MMR015011"/>
    <s v="Long Waun Nam Rein (Tarmoenye Sub-township)"/>
    <s v="MMR015011050"/>
    <s v="Mai Pong (Shu See)"/>
    <n v="219842"/>
    <x v="237"/>
    <x v="239"/>
    <x v="186"/>
    <n v="23.463000000000001"/>
    <m/>
    <n v="22"/>
    <n v="105"/>
    <n v="4.7727272727272725"/>
    <x v="0"/>
    <x v="0"/>
    <s v="Camp"/>
    <x v="2"/>
    <x v="26"/>
    <x v="6"/>
    <s v="IP"/>
    <d v="2017-09-30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40"/>
    <x v="187"/>
    <n v="23.354268999999999"/>
    <m/>
    <n v="33"/>
    <n v="174"/>
    <n v="5.2727272727272725"/>
    <x v="0"/>
    <x v="0"/>
    <s v="Camp"/>
    <x v="2"/>
    <x v="38"/>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3"/>
    <s v="MMR015011"/>
    <s v="Kar Lai Kone Hsar"/>
    <s v="MMR015011005"/>
    <m/>
    <m/>
    <x v="239"/>
    <x v="241"/>
    <x v="188"/>
    <n v="23.447111"/>
    <m/>
    <n v="105"/>
    <n v="568"/>
    <n v="5.4095238095238098"/>
    <x v="0"/>
    <x v="0"/>
    <s v="Camp like setting"/>
    <x v="2"/>
    <x v="38"/>
    <x v="2"/>
    <s v="IP"/>
    <d v="2017-07-11T00:00:00"/>
    <m/>
    <s v="11/Jul/2017: Updated from UNOCHA, visited on March 2017 _x000a_9/Nov/15. New added camp. Data source: UNHCR CCCM officer NSS mission 8-12 July 2015."/>
    <m/>
    <s v=""/>
    <s v=""/>
  </r>
  <r>
    <x v="0"/>
    <x v="1"/>
    <s v="MMR015"/>
    <s v="Muse"/>
    <s v="MMR015D002"/>
    <x v="13"/>
    <s v="MMR015011"/>
    <s v="Mong Yu"/>
    <s v="MMR015011030"/>
    <s v="Mong Yu"/>
    <n v="208747"/>
    <x v="240"/>
    <x v="242"/>
    <x v="189"/>
    <n v="23.591999999999999"/>
    <m/>
    <n v="139"/>
    <n v="704"/>
    <n v="5.0647482014388485"/>
    <x v="0"/>
    <x v="0"/>
    <s v="Camp"/>
    <x v="2"/>
    <x v="47"/>
    <x v="0"/>
    <s v="IP"/>
    <d v="2017-09-30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18"/>
    <s v="MMR015015"/>
    <s v="Pang Long"/>
    <s v="MMR015015011"/>
    <s v="Pang Tha Pyay"/>
    <n v="210455"/>
    <x v="241"/>
    <x v="243"/>
    <x v="190"/>
    <n v="22.765999999999998"/>
    <m/>
    <n v="19"/>
    <n v="82"/>
    <n v="4.3157894736842106"/>
    <x v="0"/>
    <x v="0"/>
    <s v="Camp like setting"/>
    <x v="2"/>
    <x v="39"/>
    <x v="2"/>
    <s v="IP"/>
    <d v="2016-07-25T00:00:00"/>
    <m/>
    <s v="25/Jul/2016: Added as new camp according to KBC data."/>
    <s v=""/>
    <s v=""/>
    <s v=""/>
  </r>
  <r>
    <x v="0"/>
    <x v="1"/>
    <s v="MMR015"/>
    <s v="Kyaukme"/>
    <s v="MMR015D003"/>
    <x v="14"/>
    <s v="MMR015019"/>
    <m/>
    <m/>
    <m/>
    <m/>
    <x v="242"/>
    <x v="244"/>
    <x v="20"/>
    <m/>
    <m/>
    <n v="36"/>
    <n v="188"/>
    <n v="5.2222222222222223"/>
    <x v="0"/>
    <x v="0"/>
    <s v="Camp like setting"/>
    <x v="0"/>
    <x v="39"/>
    <x v="2"/>
    <s v="IP"/>
    <d v="2016-07-11T00:00:00"/>
    <d v="2017-07-11T00:00:00"/>
    <s v="No agency has visited since Jul/2016, KBC to follow up._x000a_25/Jul/2016: Added as new camp according to KBC data. "/>
    <s v=""/>
    <s v=""/>
    <s v=""/>
  </r>
  <r>
    <x v="1"/>
    <x v="0"/>
    <s v="MMR001"/>
    <s v="Bhamo"/>
    <s v="MMR001D003"/>
    <x v="7"/>
    <s v="MMR001013"/>
    <m/>
    <m/>
    <m/>
    <m/>
    <x v="243"/>
    <x v="245"/>
    <x v="20"/>
    <m/>
    <m/>
    <n v="0"/>
    <n v="0"/>
    <s v="NA"/>
    <x v="0"/>
    <x v="0"/>
    <s v="Camp"/>
    <x v="2"/>
    <x v="6"/>
    <x v="2"/>
    <s v="IP"/>
    <d v="2014-01-13T00:00:00"/>
    <m/>
    <s v="Close (Source: OCHA)"/>
    <s v=""/>
    <s v=""/>
    <s v=""/>
  </r>
  <r>
    <x v="1"/>
    <x v="0"/>
    <s v="MMR001"/>
    <s v="Bhamo"/>
    <s v="MMR001D003"/>
    <x v="5"/>
    <s v="MMR001010"/>
    <m/>
    <m/>
    <m/>
    <m/>
    <x v="244"/>
    <x v="246"/>
    <x v="20"/>
    <m/>
    <m/>
    <m/>
    <m/>
    <s v="NA"/>
    <x v="0"/>
    <x v="0"/>
    <s v="Camp"/>
    <x v="0"/>
    <x v="6"/>
    <x v="2"/>
    <s v="IP"/>
    <d v="2014-03-04T00:00:00"/>
    <m/>
    <s v="Closed. Rellocated next to AD 2000 Tharthana Compound and CCCM is under AD 2000"/>
    <s v=""/>
    <s v=""/>
    <s v=""/>
  </r>
  <r>
    <x v="1"/>
    <x v="1"/>
    <s v="MMR015"/>
    <s v="Muse"/>
    <s v="MMR015D002"/>
    <x v="3"/>
    <s v="MMR015010"/>
    <s v="Mong Wee"/>
    <s v="MMR015010036"/>
    <s v="Mong Wee"/>
    <n v="208469"/>
    <x v="245"/>
    <x v="247"/>
    <x v="191"/>
    <n v="23.611999999999998"/>
    <m/>
    <m/>
    <m/>
    <s v="NA"/>
    <x v="0"/>
    <x v="0"/>
    <s v="Camp"/>
    <x v="2"/>
    <x v="48"/>
    <x v="2"/>
    <s v="IP"/>
    <d v="2017-06-02T00:00:00"/>
    <m/>
    <s v="2/June/2017: Changed camp status as &quot;Closed&quot;. Data source: UNOCHA and confirmed by CCCM unit._x000a_25/Jul/2016: Added as new camp according to KBC data. Data was given by Jade"/>
    <s v=""/>
    <s v=""/>
    <s v=""/>
  </r>
  <r>
    <x v="0"/>
    <x v="1"/>
    <s v="MMR015"/>
    <s v="Muse"/>
    <s v="MMR015D002"/>
    <x v="3"/>
    <s v="MMR015010"/>
    <s v="Mong Wee"/>
    <s v="MMR015010036"/>
    <s v="Mong Wee"/>
    <n v="208469"/>
    <x v="246"/>
    <x v="248"/>
    <x v="192"/>
    <n v="23.611999999999998"/>
    <m/>
    <n v="61"/>
    <n v="276"/>
    <n v="4.5245901639344259"/>
    <x v="0"/>
    <x v="0"/>
    <s v="Camp like setting"/>
    <x v="2"/>
    <x v="49"/>
    <x v="2"/>
    <s v="IP"/>
    <d v="2017-06-02T00:00:00"/>
    <m/>
    <s v="2/Jun/2017: Population update. Data source: WASH cluster._x000a_25/Jul/2016: Added as new camp according to KBC data. Data was given by Jade"/>
    <s v=""/>
    <s v=""/>
    <s v=""/>
  </r>
  <r>
    <x v="0"/>
    <x v="1"/>
    <s v="MMR015"/>
    <s v="Muse"/>
    <s v="MMR015D002"/>
    <x v="13"/>
    <s v="MMR015011"/>
    <s v="Nam Hpat Kar"/>
    <s v="MMR015011020"/>
    <s v="Aung Tha Pyay Ward"/>
    <m/>
    <x v="247"/>
    <x v="249"/>
    <x v="193"/>
    <n v="23.682887999999998"/>
    <m/>
    <n v="37"/>
    <n v="130"/>
    <n v="3.5135135135135136"/>
    <x v="0"/>
    <x v="0"/>
    <s v="Camp like setting"/>
    <x v="0"/>
    <x v="48"/>
    <x v="2"/>
    <s v="IP"/>
    <d v="2017-04-06T00:00:00"/>
    <m/>
    <s v="6/Apr/2017: Population update. Data source: CCCM and confirmed by camp manager._x000a_20/Feb/2017: Updating GPS coordiante._x000a_25/Jul/2016: Added as new camp according to KBC data. Data was given by Jade"/>
    <s v=""/>
    <s v=""/>
    <s v=""/>
  </r>
  <r>
    <x v="1"/>
    <x v="1"/>
    <s v="MMR015"/>
    <s v="Lashio"/>
    <s v="MMR015D001"/>
    <x v="21"/>
    <s v="MMR015002"/>
    <s v="Kawng Wein"/>
    <s v="MMR015002026"/>
    <s v="Kawng Wein"/>
    <n v="206395"/>
    <x v="248"/>
    <x v="250"/>
    <x v="194"/>
    <n v="23.353999999999999"/>
    <m/>
    <m/>
    <m/>
    <s v="NA"/>
    <x v="0"/>
    <x v="0"/>
    <s v="Camp"/>
    <x v="0"/>
    <x v="49"/>
    <x v="2"/>
    <s v="IP"/>
    <d v="2017-07-11T00:00:00"/>
    <m/>
    <s v="11/Jul/2017: Camp status change into closed. KBC said Camp will be combine with Nam Sa Larp. DATA Source: KBC_x000a_25/Jul/2016: Added as new camp according to KBC data. Data was given by Jade"/>
    <s v=""/>
    <s v=""/>
    <s v=""/>
  </r>
  <r>
    <x v="0"/>
    <x v="1"/>
    <s v="MMR015"/>
    <s v="Muse"/>
    <s v="MMR015D002"/>
    <x v="13"/>
    <s v="MMR015011"/>
    <s v="Mung Hawm"/>
    <m/>
    <s v="Htoi San Yang "/>
    <m/>
    <x v="249"/>
    <x v="251"/>
    <x v="195"/>
    <n v="23.850999999999999"/>
    <m/>
    <n v="30"/>
    <n v="170"/>
    <n v="5.666666666666667"/>
    <x v="0"/>
    <x v="0"/>
    <s v="Camp like setting"/>
    <x v="2"/>
    <x v="48"/>
    <x v="2"/>
    <s v="IP"/>
    <d v="2016-07-11T00:00:00"/>
    <d v="2017-07-11T00:00:00"/>
    <s v="No update information since Jul/2016, KBC to follow up_x000a_25/Jul/2016: Added as new camp according to KBC data."/>
    <s v=""/>
    <s v=""/>
    <s v=""/>
  </r>
  <r>
    <x v="1"/>
    <x v="1"/>
    <s v="MMR015"/>
    <s v="Kyaukme"/>
    <s v="MMR015D003"/>
    <x v="18"/>
    <s v="MMR015015"/>
    <s v="Namtu Town"/>
    <s v="MMR015015701"/>
    <s v="Namtu Ward"/>
    <s v="MMR015015701501"/>
    <x v="250"/>
    <x v="252"/>
    <x v="196"/>
    <n v="23.099304"/>
    <m/>
    <m/>
    <m/>
    <s v="NA"/>
    <x v="0"/>
    <x v="0"/>
    <s v="Camp"/>
    <x v="0"/>
    <x v="6"/>
    <x v="2"/>
    <s v="IP"/>
    <d v="2017-06-02T00:00:00"/>
    <m/>
    <s v="2/June/2017: Changed camp status as &quot;Closed&quot; according to UNHCR_Lashio information._x000a_17-01-2017: New added camp. Missing data will be collected from partners and present in next Report."/>
    <s v=""/>
    <s v=""/>
    <s v=""/>
  </r>
  <r>
    <x v="1"/>
    <x v="1"/>
    <s v="MMR015"/>
    <s v="Kyaukme"/>
    <s v="MMR015D003"/>
    <x v="18"/>
    <s v="MMR015015"/>
    <s v="Namtu Town"/>
    <s v="MMR015015701"/>
    <s v="Namtu Ward"/>
    <s v="MMR015015701501"/>
    <x v="251"/>
    <x v="253"/>
    <x v="20"/>
    <m/>
    <m/>
    <n v="13"/>
    <n v="45"/>
    <n v="3.4615384615384617"/>
    <x v="0"/>
    <x v="0"/>
    <s v="Camp like setting"/>
    <x v="0"/>
    <x v="6"/>
    <x v="2"/>
    <s v="IP"/>
    <d v="2017-01-17T00:00:00"/>
    <m/>
    <s v="Closed as of 1st of September 2017"/>
    <s v=""/>
    <s v=""/>
    <s v=""/>
  </r>
  <r>
    <x v="1"/>
    <x v="1"/>
    <s v="MMR015"/>
    <s v="Kyaukme"/>
    <s v="MMR015D003"/>
    <x v="18"/>
    <s v="MMR015015"/>
    <s v="Namtu Town"/>
    <s v="MMR015015701"/>
    <s v="Namtu Ward"/>
    <s v="MMR015015701501"/>
    <x v="252"/>
    <x v="254"/>
    <x v="20"/>
    <m/>
    <m/>
    <m/>
    <m/>
    <s v="NA"/>
    <x v="0"/>
    <x v="0"/>
    <s v="Camp"/>
    <x v="0"/>
    <x v="6"/>
    <x v="2"/>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8"/>
    <s v="MMR015015"/>
    <s v="Namtu Town"/>
    <s v="MMR015015701"/>
    <s v="Namtu Ward"/>
    <s v="MMR015015701501"/>
    <x v="253"/>
    <x v="255"/>
    <x v="20"/>
    <m/>
    <m/>
    <m/>
    <m/>
    <s v="NA"/>
    <x v="0"/>
    <x v="0"/>
    <s v="Camp"/>
    <x v="0"/>
    <x v="6"/>
    <x v="2"/>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8"/>
    <s v="MMR015015"/>
    <s v="Namtu Town"/>
    <s v="MMR015015701"/>
    <s v="Namtu Ward"/>
    <s v="MMR015015701501"/>
    <x v="254"/>
    <x v="256"/>
    <x v="20"/>
    <m/>
    <m/>
    <n v="25"/>
    <n v="123"/>
    <n v="4.92"/>
    <x v="0"/>
    <x v="0"/>
    <s v="Camp like setting"/>
    <x v="0"/>
    <x v="6"/>
    <x v="6"/>
    <s v="IP"/>
    <d v="2017-09-30T00:00:00"/>
    <d v="2017-06-18T00:00:00"/>
    <s v="CCCM activities start in july 2017"/>
    <s v=""/>
    <s v=""/>
    <s v=""/>
  </r>
  <r>
    <x v="1"/>
    <x v="1"/>
    <s v="MMR015"/>
    <s v="Muse"/>
    <s v="MMR015D002"/>
    <x v="12"/>
    <s v="MMR015009"/>
    <s v="Muse Town"/>
    <s v="MMR015009701"/>
    <s v="Ho Mun Ward"/>
    <s v="MMR015009701504"/>
    <x v="255"/>
    <x v="257"/>
    <x v="20"/>
    <m/>
    <m/>
    <m/>
    <m/>
    <s v="NA"/>
    <x v="0"/>
    <x v="0"/>
    <s v="Camp"/>
    <x v="0"/>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Myauk Ward"/>
    <s v="MMR015009701505"/>
    <x v="256"/>
    <x v="258"/>
    <x v="20"/>
    <m/>
    <m/>
    <m/>
    <m/>
    <s v="NA"/>
    <x v="0"/>
    <x v="0"/>
    <s v="Camp"/>
    <x v="0"/>
    <x v="6"/>
    <x v="2"/>
    <m/>
    <d v="2017-01-17T00:00:00"/>
    <m/>
    <s v="17-01-2017: New added camp. Missing data will be collected from partners and present in next Report."/>
    <s v=""/>
    <s v=""/>
    <s v=""/>
  </r>
  <r>
    <x v="1"/>
    <x v="1"/>
    <s v="MMR015"/>
    <s v="Muse"/>
    <s v="MMR015D002"/>
    <x v="12"/>
    <s v="MMR015009"/>
    <s v="Muse Town"/>
    <s v="MMR015009701"/>
    <s v="Taung Ward"/>
    <s v="MMR015009701503"/>
    <x v="257"/>
    <x v="259"/>
    <x v="20"/>
    <m/>
    <m/>
    <m/>
    <m/>
    <s v="NA"/>
    <x v="0"/>
    <x v="0"/>
    <s v="Camp"/>
    <x v="0"/>
    <x v="6"/>
    <x v="2"/>
    <m/>
    <d v="2017-01-17T00:00:00"/>
    <m/>
    <s v="17-01-2017: New added camp. Missing data will be collected from partners and present in next Report."/>
    <s v=""/>
    <s v=""/>
    <s v=""/>
  </r>
  <r>
    <x v="1"/>
    <x v="1"/>
    <s v="MMR015"/>
    <s v="Muse"/>
    <s v="MMR015D002"/>
    <x v="12"/>
    <s v="MMR015009"/>
    <m/>
    <m/>
    <m/>
    <m/>
    <x v="258"/>
    <x v="260"/>
    <x v="20"/>
    <m/>
    <m/>
    <m/>
    <m/>
    <s v="NA"/>
    <x v="0"/>
    <x v="0"/>
    <s v="Camp"/>
    <x v="1"/>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Swei Taw Ward"/>
    <s v="MMR015009701507"/>
    <x v="259"/>
    <x v="261"/>
    <x v="20"/>
    <m/>
    <m/>
    <m/>
    <m/>
    <s v="NA"/>
    <x v="0"/>
    <x v="0"/>
    <s v="Camp"/>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ohnyin"/>
    <s v="MMR001D002"/>
    <x v="1"/>
    <s v="MMR001009"/>
    <s v="Haung Par"/>
    <s v="MMR001009004"/>
    <s v="Haung Par"/>
    <n v="166794"/>
    <x v="260"/>
    <x v="262"/>
    <x v="20"/>
    <m/>
    <m/>
    <n v="0"/>
    <n v="0"/>
    <s v="NA"/>
    <x v="0"/>
    <x v="0"/>
    <s v="Camp"/>
    <x v="1"/>
    <x v="6"/>
    <x v="2"/>
    <m/>
    <m/>
    <m/>
    <m/>
    <s v=""/>
    <s v=""/>
    <s v=""/>
  </r>
  <r>
    <x v="1"/>
    <x v="1"/>
    <s v="MMR015"/>
    <s v="Muse"/>
    <s v="MMR015D002"/>
    <x v="12"/>
    <s v="MMR015009"/>
    <s v="Nam Pang"/>
    <s v="MMR015009001"/>
    <s v="Nam Hkon"/>
    <n v="208003"/>
    <x v="261"/>
    <x v="263"/>
    <x v="20"/>
    <m/>
    <m/>
    <m/>
    <m/>
    <s v="NA"/>
    <x v="0"/>
    <x v="0"/>
    <s v="Camp"/>
    <x v="2"/>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Ho Mun Ward"/>
    <s v="MMR015009701504"/>
    <x v="262"/>
    <x v="264"/>
    <x v="20"/>
    <m/>
    <m/>
    <m/>
    <m/>
    <s v="NA"/>
    <x v="0"/>
    <x v="0"/>
    <s v="Camp"/>
    <x v="0"/>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m/>
    <m/>
    <x v="263"/>
    <x v="265"/>
    <x v="20"/>
    <m/>
    <m/>
    <m/>
    <m/>
    <s v="NA"/>
    <x v="0"/>
    <x v="0"/>
    <s v="Camp"/>
    <x v="1"/>
    <x v="6"/>
    <x v="2"/>
    <m/>
    <d v="2017-01-17T00:00:00"/>
    <m/>
    <s v="17-01-2017: New added camp. Missing data will be collected from partners and present in next Report."/>
    <s v=""/>
    <s v=""/>
    <s v=""/>
  </r>
  <r>
    <x v="1"/>
    <x v="1"/>
    <s v="MMR015"/>
    <s v="Muse"/>
    <s v="MMR015D002"/>
    <x v="12"/>
    <s v="MMR015009"/>
    <s v="Muse Town"/>
    <s v="MMR015009701"/>
    <s v="Ho Mun Ward"/>
    <s v="MMR015009701504"/>
    <x v="264"/>
    <x v="266"/>
    <x v="20"/>
    <m/>
    <m/>
    <m/>
    <m/>
    <s v="NA"/>
    <x v="0"/>
    <x v="0"/>
    <s v="Camp"/>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ohnyin"/>
    <s v="MMR001D002"/>
    <x v="1"/>
    <s v="MMR001009"/>
    <s v="Wa Ra Zut"/>
    <s v="MMR001009009"/>
    <s v="Shar Du Zut"/>
    <n v="166819"/>
    <x v="265"/>
    <x v="267"/>
    <x v="32"/>
    <n v="25.920006000000001"/>
    <m/>
    <m/>
    <m/>
    <s v="NA"/>
    <x v="0"/>
    <x v="0"/>
    <s v="Camp"/>
    <x v="2"/>
    <x v="14"/>
    <x v="2"/>
    <s v="IP"/>
    <d v="2017-04-24T00:00:00"/>
    <m/>
    <s v="24/Apr/2017: Changed camp status as &quot;closed&quot;. Data source: KMSS_Myitkyina and CCCM unit._x000a_16/Sep/2016: New added camp. There no responsible organization."/>
    <s v="Hpakant Town"/>
    <n v="0"/>
    <n v="1"/>
  </r>
  <r>
    <x v="1"/>
    <x v="0"/>
    <s v="MMR001"/>
    <s v="Bhamo"/>
    <s v="MMR001D003"/>
    <x v="5"/>
    <s v="MMR001010"/>
    <s v="Han Te"/>
    <s v="MMR001010024"/>
    <m/>
    <m/>
    <x v="266"/>
    <x v="268"/>
    <x v="197"/>
    <n v="24.229189999999999"/>
    <n v="126"/>
    <m/>
    <m/>
    <s v="NA"/>
    <x v="0"/>
    <x v="0"/>
    <s v="Camp"/>
    <x v="0"/>
    <x v="6"/>
    <x v="1"/>
    <s v="IP"/>
    <d v="2014-09-24T00:00:00"/>
    <m/>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1"/>
    <x v="0"/>
    <s v="MMR001"/>
    <s v="Mohnyin"/>
    <s v="MMR001D002"/>
    <x v="1"/>
    <s v="MMR001009"/>
    <s v="Hpakan Town"/>
    <s v="MMR001009701"/>
    <s v="Myo Ma Ward"/>
    <s v="MMR001009701503"/>
    <x v="267"/>
    <x v="269"/>
    <x v="20"/>
    <m/>
    <m/>
    <m/>
    <m/>
    <s v="NA"/>
    <x v="0"/>
    <x v="0"/>
    <s v="Camp"/>
    <x v="1"/>
    <x v="6"/>
    <x v="2"/>
    <m/>
    <m/>
    <m/>
    <s v=" "/>
    <s v=""/>
    <s v=""/>
    <s v=""/>
  </r>
  <r>
    <x v="1"/>
    <x v="0"/>
    <s v="MMR001"/>
    <s v="Bhamo"/>
    <s v="MMR001D003"/>
    <x v="5"/>
    <s v="MMR001010"/>
    <m/>
    <m/>
    <m/>
    <m/>
    <x v="268"/>
    <x v="270"/>
    <x v="20"/>
    <m/>
    <m/>
    <n v="0"/>
    <n v="0"/>
    <s v="NA"/>
    <x v="0"/>
    <x v="0"/>
    <s v="Camp"/>
    <x v="0"/>
    <x v="6"/>
    <x v="2"/>
    <s v="IP"/>
    <d v="2014-03-03T00:00:00"/>
    <m/>
    <s v="Closed. Rellocated to Tharthana Ahlin Yaung."/>
    <s v=""/>
    <s v=""/>
    <s v=""/>
  </r>
  <r>
    <x v="1"/>
    <x v="0"/>
    <s v="MMR001"/>
    <s v="Myitkyina"/>
    <s v="MMR001D001"/>
    <x v="2"/>
    <s v="MMR001002"/>
    <s v="Waingmaw Town"/>
    <s v="MMR001002701"/>
    <s v="No (2) Ward"/>
    <s v="MMR001002701502"/>
    <x v="269"/>
    <x v="271"/>
    <x v="198"/>
    <n v="25.355841999999999"/>
    <n v="0"/>
    <m/>
    <m/>
    <s v="NA"/>
    <x v="0"/>
    <x v="0"/>
    <s v="Boarding School"/>
    <x v="0"/>
    <x v="16"/>
    <x v="0"/>
    <s v="IP"/>
    <d v="2016-03-03T00:00:00"/>
    <m/>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1"/>
    <x v="0"/>
    <s v="MMR001"/>
    <s v="Mohnyin"/>
    <s v="MMR001D002"/>
    <x v="1"/>
    <s v="MMR001009"/>
    <s v="Seik Mu"/>
    <s v="MMR001009003"/>
    <s v="Seik Mu"/>
    <n v="166783"/>
    <x v="270"/>
    <x v="272"/>
    <x v="199"/>
    <n v="25.57921"/>
    <n v="0"/>
    <m/>
    <m/>
    <s v="NA"/>
    <x v="0"/>
    <x v="0"/>
    <s v="Camp"/>
    <x v="2"/>
    <x v="24"/>
    <x v="3"/>
    <s v="RRD"/>
    <d v="2014-04-07T00:00:00"/>
    <m/>
    <s v="Move to Nant Ma Hpit Catholic Church."/>
    <s v=""/>
    <s v=""/>
    <s v=""/>
  </r>
  <r>
    <x v="1"/>
    <x v="1"/>
    <s v="MMR015"/>
    <s v="Muse"/>
    <s v="MMR015D002"/>
    <x v="12"/>
    <s v="MMR015009"/>
    <s v="Muse Town"/>
    <s v="MMR015009701"/>
    <s v="Ho Mun Ward"/>
    <s v="MMR015009701504"/>
    <x v="271"/>
    <x v="273"/>
    <x v="20"/>
    <m/>
    <m/>
    <m/>
    <m/>
    <s v="NA"/>
    <x v="0"/>
    <x v="0"/>
    <s v="Camp"/>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yitkyina"/>
    <s v="MMR001D001"/>
    <x v="4"/>
    <s v="MMR001005"/>
    <m/>
    <m/>
    <m/>
    <m/>
    <x v="272"/>
    <x v="274"/>
    <x v="20"/>
    <m/>
    <m/>
    <m/>
    <m/>
    <s v="NA"/>
    <x v="0"/>
    <x v="0"/>
    <s v="Camp"/>
    <x v="1"/>
    <x v="6"/>
    <x v="2"/>
    <m/>
    <m/>
    <m/>
    <s v=" "/>
    <s v=""/>
    <s v=""/>
    <s v=""/>
  </r>
  <r>
    <x v="1"/>
    <x v="0"/>
    <s v="MMR001"/>
    <s v="Mohnyin"/>
    <s v="MMR001D002"/>
    <x v="1"/>
    <s v="MMR001009"/>
    <s v="Hpakan Town"/>
    <s v="MMR001009701"/>
    <s v="Ma Shi Ka Htaung Ward"/>
    <s v="MMR001009701505"/>
    <x v="273"/>
    <x v="275"/>
    <x v="20"/>
    <m/>
    <m/>
    <m/>
    <m/>
    <s v="NA"/>
    <x v="0"/>
    <x v="0"/>
    <s v="Camp"/>
    <x v="1"/>
    <x v="6"/>
    <x v="2"/>
    <m/>
    <m/>
    <m/>
    <s v=" "/>
    <s v=""/>
    <s v=""/>
    <s v=""/>
  </r>
  <r>
    <x v="1"/>
    <x v="0"/>
    <s v="MMR001"/>
    <s v="Myitkyina"/>
    <s v="MMR001D001"/>
    <x v="2"/>
    <s v="MMR001002"/>
    <s v="Hpawt Dawt"/>
    <s v="MMR001002032"/>
    <s v="Mon Gar Zut"/>
    <n v="220360"/>
    <x v="274"/>
    <x v="276"/>
    <x v="200"/>
    <n v="25.106670000000001"/>
    <n v="756"/>
    <m/>
    <m/>
    <s v="NA"/>
    <x v="1"/>
    <x v="0"/>
    <s v="Camp"/>
    <x v="2"/>
    <x v="16"/>
    <x v="0"/>
    <s v="IP"/>
    <d v="2017-06-02T00:00:00"/>
    <m/>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1"/>
    <x v="0"/>
    <s v="MMR001"/>
    <s v="Mohnyin"/>
    <s v="MMR001D002"/>
    <x v="1"/>
    <s v="MMR001009"/>
    <s v="Hpakan Town"/>
    <s v="MMR001009701"/>
    <s v="Maw Wam Ward"/>
    <s v="MMR001009701501"/>
    <x v="275"/>
    <x v="277"/>
    <x v="201"/>
    <n v="25.615006000000001"/>
    <m/>
    <n v="0"/>
    <n v="0"/>
    <s v="NA"/>
    <x v="0"/>
    <x v="0"/>
    <s v="Camp"/>
    <x v="1"/>
    <x v="6"/>
    <x v="2"/>
    <m/>
    <m/>
    <m/>
    <s v=" "/>
    <s v=""/>
    <s v=""/>
    <s v=""/>
  </r>
  <r>
    <x v="1"/>
    <x v="1"/>
    <s v="MMR015"/>
    <s v="Muse"/>
    <s v="MMR015D002"/>
    <x v="12"/>
    <s v="MMR015009"/>
    <m/>
    <m/>
    <m/>
    <m/>
    <x v="276"/>
    <x v="278"/>
    <x v="20"/>
    <m/>
    <m/>
    <m/>
    <m/>
    <s v="NA"/>
    <x v="0"/>
    <x v="0"/>
    <s v="Camp"/>
    <x v="1"/>
    <x v="6"/>
    <x v="2"/>
    <s v="IP"/>
    <d v="2017-04-06T00:00:00"/>
    <m/>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77"/>
    <x v="279"/>
    <x v="202"/>
    <n v="22.677008000000001"/>
    <m/>
    <n v="37"/>
    <n v="120"/>
    <n v="3.2432432432432434"/>
    <x v="0"/>
    <x v="0"/>
    <s v="Camp like setting"/>
    <x v="2"/>
    <x v="6"/>
    <x v="2"/>
    <s v="IP"/>
    <d v="2017-01-17T00:00:00"/>
    <m/>
    <s v="17-01-2017: New added camp. Missing data will be collected from partners and present in next Report."/>
    <s v=""/>
    <s v=""/>
    <s v=""/>
  </r>
  <r>
    <x v="0"/>
    <x v="1"/>
    <s v="MMR015"/>
    <s v="Muse"/>
    <s v="MMR015D002"/>
    <x v="13"/>
    <s v="MMR015011"/>
    <s v="Kutkai Town"/>
    <s v="MMR015011701"/>
    <s v="No (6) Ward"/>
    <s v="MMR015011701506"/>
    <x v="278"/>
    <x v="280"/>
    <x v="148"/>
    <n v="23.460349999999998"/>
    <m/>
    <n v="36"/>
    <n v="146"/>
    <n v="4.0555555555555554"/>
    <x v="0"/>
    <x v="0"/>
    <s v="Camp like setting"/>
    <x v="0"/>
    <x v="50"/>
    <x v="0"/>
    <s v="IP"/>
    <d v="2017-09-30T00:00:00"/>
    <m/>
    <s v="CCCM activities start in july 2017"/>
    <s v=""/>
    <s v=""/>
    <s v=""/>
  </r>
  <r>
    <x v="0"/>
    <x v="1"/>
    <s v="MMR015"/>
    <s v="Muse"/>
    <s v="MMR015D002"/>
    <x v="13"/>
    <s v="MMR015011"/>
    <s v="Kawng Hkar Man Pying"/>
    <s v="MMR015011002"/>
    <s v="Man Loi"/>
    <n v="208530"/>
    <x v="279"/>
    <x v="281"/>
    <x v="20"/>
    <m/>
    <m/>
    <n v="24"/>
    <n v="84"/>
    <n v="3.5"/>
    <x v="0"/>
    <x v="0"/>
    <s v="Camp like setting"/>
    <x v="2"/>
    <x v="6"/>
    <x v="2"/>
    <s v="IP"/>
    <d v="2017-05-06T00:00:00"/>
    <m/>
    <s v="6/May/2017: New added camp. Data source: KBC. Camp was confirmed by CCCM unit. The missing informaiton will be updated as soon as possible."/>
    <s v=""/>
    <s v=""/>
    <s v=""/>
  </r>
  <r>
    <x v="0"/>
    <x v="1"/>
    <s v="MMR015"/>
    <s v="Muse"/>
    <s v="MMR015D002"/>
    <x v="12"/>
    <s v="MMR015009"/>
    <s v="Hpai Kawng (Pang Hseng-Kyu Koke Sub-township"/>
    <s v="MMR015009031"/>
    <s v="Hpai Kawng"/>
    <n v="208156"/>
    <x v="280"/>
    <x v="282"/>
    <x v="157"/>
    <n v="24.08738"/>
    <m/>
    <n v="154"/>
    <n v="778"/>
    <n v="5.0519480519480515"/>
    <x v="0"/>
    <x v="0"/>
    <s v="Camp like setting"/>
    <x v="2"/>
    <x v="6"/>
    <x v="0"/>
    <s v="IP"/>
    <d v="2017-09-30T00:00:00"/>
    <m/>
    <s v="CCCM activities start in july 2017"/>
    <s v=""/>
    <s v=""/>
    <s v=""/>
  </r>
  <r>
    <x v="0"/>
    <x v="1"/>
    <m/>
    <s v="Muse"/>
    <m/>
    <x v="13"/>
    <m/>
    <s v="Pan Law"/>
    <m/>
    <s v="Pan Law"/>
    <m/>
    <x v="281"/>
    <x v="20"/>
    <x v="20"/>
    <m/>
    <m/>
    <n v="37"/>
    <n v="198"/>
    <n v="5.3513513513513518"/>
    <x v="0"/>
    <x v="0"/>
    <s v="Camp like setting"/>
    <x v="2"/>
    <x v="39"/>
    <x v="2"/>
    <s v="IP"/>
    <d v="2017-09-30T00:00:00"/>
    <m/>
    <m/>
    <s v=""/>
    <s v=""/>
    <s v=""/>
  </r>
  <r>
    <x v="0"/>
    <x v="1"/>
    <s v="MMR015"/>
    <s v="Kyaukme"/>
    <s v="MMR015D003"/>
    <x v="18"/>
    <s v="MMR015015"/>
    <s v="Namtu Town"/>
    <s v="MMR015015701"/>
    <s v="Namtu Ward"/>
    <s v="MMR015015701501"/>
    <x v="282"/>
    <x v="283"/>
    <x v="196"/>
    <n v="23.099304"/>
    <m/>
    <n v="59"/>
    <n v="250"/>
    <n v="4.2372881355932206"/>
    <x v="0"/>
    <x v="0"/>
    <s v="Camp like setting"/>
    <x v="0"/>
    <x v="51"/>
    <x v="6"/>
    <s v="IP"/>
    <d v="2017-09-30T00:00:00"/>
    <m/>
    <s v="CCCM activities start in july 2017"/>
    <s v=""/>
    <s v=""/>
    <s v=""/>
  </r>
</pivotCacheRecords>
</file>

<file path=xl/pivotCache/pivotCacheRecords5.xml><?xml version="1.0" encoding="utf-8"?>
<pivotCacheRecords xmlns="http://schemas.openxmlformats.org/spreadsheetml/2006/main" xmlns:r="http://schemas.openxmlformats.org/officeDocument/2006/relationships" count="94">
  <r>
    <x v="0"/>
    <x v="0"/>
    <m/>
    <s v="Kachin"/>
    <x v="0"/>
    <s v="Tanai RC church (kinsa Ra)"/>
    <m/>
    <n v="31"/>
    <m/>
    <m/>
    <m/>
    <m/>
    <m/>
    <m/>
    <m/>
    <m/>
    <m/>
    <m/>
    <m/>
    <m/>
    <m/>
    <m/>
    <m/>
    <m/>
    <m/>
    <e v="#REF!"/>
    <e v="#REF!"/>
    <e v="#REF!"/>
    <e v="#REF!"/>
    <e v="#REF!"/>
    <e v="#REF!"/>
    <e v="#REF!"/>
    <e v="#REF!"/>
    <e v="#REF!"/>
    <e v="#REF!"/>
    <e v="#REF!"/>
    <e v="#REF!"/>
    <e v="#REF!"/>
    <n v="0"/>
    <e v="#REF!"/>
    <e v="#REF!"/>
    <e v="#REF!"/>
    <s v=""/>
    <m/>
  </r>
  <r>
    <x v="1"/>
    <x v="1"/>
    <s v="Shalom"/>
    <s v="Kachin"/>
    <x v="1"/>
    <s v="Waignmaw lhavo zonal"/>
    <m/>
    <m/>
    <n v="4"/>
    <n v="4"/>
    <n v="6"/>
    <n v="4"/>
    <n v="4"/>
    <n v="3"/>
    <m/>
    <n v="3"/>
    <n v="5"/>
    <m/>
    <m/>
    <m/>
    <m/>
    <n v="4"/>
    <m/>
    <m/>
    <m/>
    <e v="#REF!"/>
    <e v="#REF!"/>
    <e v="#REF!"/>
    <e v="#REF!"/>
    <e v="#REF!"/>
    <e v="#REF!"/>
    <e v="#REF!"/>
    <e v="#REF!"/>
    <e v="#REF!"/>
    <e v="#REF!"/>
    <e v="#REF!"/>
    <e v="#REF!"/>
    <e v="#REF!"/>
    <n v="0"/>
    <e v="#REF!"/>
    <e v="#REF!"/>
    <e v="#REF!"/>
    <s v=""/>
    <m/>
  </r>
  <r>
    <x v="1"/>
    <x v="1"/>
    <s v="Shalom"/>
    <s v="Kachin"/>
    <x v="1"/>
    <s v="Waignmaw AG"/>
    <m/>
    <m/>
    <n v="3"/>
    <n v="3"/>
    <n v="6"/>
    <n v="3"/>
    <n v="8"/>
    <n v="2"/>
    <m/>
    <n v="2"/>
    <n v="8"/>
    <m/>
    <m/>
    <m/>
    <m/>
    <n v="3"/>
    <m/>
    <m/>
    <m/>
    <e v="#REF!"/>
    <e v="#REF!"/>
    <e v="#REF!"/>
    <e v="#REF!"/>
    <e v="#REF!"/>
    <e v="#REF!"/>
    <e v="#REF!"/>
    <e v="#REF!"/>
    <e v="#REF!"/>
    <e v="#REF!"/>
    <e v="#REF!"/>
    <e v="#REF!"/>
    <e v="#REF!"/>
    <n v="0"/>
    <e v="#REF!"/>
    <e v="#REF!"/>
    <e v="#REF!"/>
    <s v=""/>
    <m/>
  </r>
  <r>
    <x v="2"/>
    <x v="1"/>
    <s v="KMSS-B"/>
    <s v="Kachin"/>
    <x v="2"/>
    <s v="Loi Je RC camp"/>
    <m/>
    <m/>
    <m/>
    <m/>
    <m/>
    <n v="15"/>
    <m/>
    <m/>
    <m/>
    <m/>
    <m/>
    <m/>
    <m/>
    <m/>
    <m/>
    <m/>
    <m/>
    <m/>
    <m/>
    <e v="#REF!"/>
    <e v="#REF!"/>
    <e v="#REF!"/>
    <e v="#REF!"/>
    <e v="#REF!"/>
    <e v="#REF!"/>
    <e v="#REF!"/>
    <e v="#REF!"/>
    <e v="#REF!"/>
    <e v="#REF!"/>
    <e v="#REF!"/>
    <e v="#REF!"/>
    <e v="#REF!"/>
    <n v="0"/>
    <e v="#REF!"/>
    <e v="#REF!"/>
    <e v="#REF!"/>
    <s v=""/>
    <m/>
  </r>
  <r>
    <x v="3"/>
    <x v="0"/>
    <m/>
    <s v="Kachin"/>
    <x v="3"/>
    <s v="Yel Lay village"/>
    <m/>
    <m/>
    <m/>
    <m/>
    <n v="10"/>
    <m/>
    <n v="10"/>
    <n v="5"/>
    <m/>
    <m/>
    <n v="10"/>
    <m/>
    <m/>
    <m/>
    <m/>
    <m/>
    <m/>
    <m/>
    <m/>
    <e v="#REF!"/>
    <e v="#REF!"/>
    <e v="#REF!"/>
    <e v="#REF!"/>
    <e v="#REF!"/>
    <e v="#REF!"/>
    <e v="#REF!"/>
    <e v="#REF!"/>
    <e v="#REF!"/>
    <e v="#REF!"/>
    <e v="#REF!"/>
    <e v="#REF!"/>
    <e v="#REF!"/>
    <n v="0"/>
    <e v="#REF!"/>
    <e v="#REF!"/>
    <e v="#REF!"/>
    <s v=""/>
    <m/>
  </r>
  <r>
    <x v="3"/>
    <x v="0"/>
    <m/>
    <s v="Kachin"/>
    <x v="3"/>
    <s v="Moe Sein Tune village"/>
    <m/>
    <m/>
    <m/>
    <m/>
    <n v="4"/>
    <m/>
    <n v="4"/>
    <n v="2"/>
    <m/>
    <m/>
    <n v="4"/>
    <m/>
    <m/>
    <m/>
    <m/>
    <m/>
    <m/>
    <m/>
    <m/>
    <e v="#REF!"/>
    <e v="#REF!"/>
    <e v="#REF!"/>
    <e v="#REF!"/>
    <e v="#REF!"/>
    <e v="#REF!"/>
    <e v="#REF!"/>
    <e v="#REF!"/>
    <e v="#REF!"/>
    <e v="#REF!"/>
    <e v="#REF!"/>
    <e v="#REF!"/>
    <e v="#REF!"/>
    <n v="0"/>
    <e v="#REF!"/>
    <e v="#REF!"/>
    <e v="#REF!"/>
    <s v=""/>
    <m/>
  </r>
  <r>
    <x v="4"/>
    <x v="0"/>
    <m/>
    <s v="Kachin"/>
    <x v="3"/>
    <s v="Lat Pan La village"/>
    <m/>
    <m/>
    <m/>
    <m/>
    <n v="14"/>
    <m/>
    <n v="14"/>
    <n v="7"/>
    <m/>
    <m/>
    <n v="14"/>
    <m/>
    <m/>
    <m/>
    <m/>
    <m/>
    <m/>
    <m/>
    <m/>
    <e v="#REF!"/>
    <e v="#REF!"/>
    <e v="#REF!"/>
    <e v="#REF!"/>
    <e v="#REF!"/>
    <e v="#REF!"/>
    <e v="#REF!"/>
    <e v="#REF!"/>
    <e v="#REF!"/>
    <e v="#REF!"/>
    <e v="#REF!"/>
    <e v="#REF!"/>
    <e v="#REF!"/>
    <n v="0"/>
    <e v="#REF!"/>
    <e v="#REF!"/>
    <e v="#REF!"/>
    <s v=""/>
    <m/>
  </r>
  <r>
    <x v="4"/>
    <x v="0"/>
    <m/>
    <s v="Kachin"/>
    <x v="3"/>
    <s v="Man ma Lin village"/>
    <m/>
    <m/>
    <m/>
    <m/>
    <n v="8"/>
    <m/>
    <n v="8"/>
    <n v="4"/>
    <m/>
    <m/>
    <n v="8"/>
    <m/>
    <m/>
    <m/>
    <m/>
    <m/>
    <m/>
    <m/>
    <m/>
    <e v="#REF!"/>
    <e v="#REF!"/>
    <e v="#REF!"/>
    <e v="#REF!"/>
    <e v="#REF!"/>
    <e v="#REF!"/>
    <e v="#REF!"/>
    <e v="#REF!"/>
    <e v="#REF!"/>
    <e v="#REF!"/>
    <e v="#REF!"/>
    <e v="#REF!"/>
    <e v="#REF!"/>
    <n v="0"/>
    <e v="#REF!"/>
    <e v="#REF!"/>
    <e v="#REF!"/>
    <s v=""/>
    <m/>
  </r>
  <r>
    <x v="4"/>
    <x v="0"/>
    <m/>
    <s v="Kachin"/>
    <x v="2"/>
    <s v="Min Jong Kone Ward"/>
    <m/>
    <m/>
    <m/>
    <m/>
    <n v="12"/>
    <m/>
    <n v="12"/>
    <n v="6"/>
    <m/>
    <m/>
    <n v="12"/>
    <m/>
    <m/>
    <m/>
    <m/>
    <m/>
    <m/>
    <m/>
    <m/>
    <e v="#REF!"/>
    <e v="#REF!"/>
    <e v="#REF!"/>
    <e v="#REF!"/>
    <e v="#REF!"/>
    <e v="#REF!"/>
    <e v="#REF!"/>
    <e v="#REF!"/>
    <e v="#REF!"/>
    <e v="#REF!"/>
    <e v="#REF!"/>
    <e v="#REF!"/>
    <e v="#REF!"/>
    <n v="0"/>
    <e v="#REF!"/>
    <e v="#REF!"/>
    <e v="#REF!"/>
    <s v=""/>
    <m/>
  </r>
  <r>
    <x v="4"/>
    <x v="0"/>
    <m/>
    <s v="Kachin"/>
    <x v="2"/>
    <s v="Pauk Kone Ward"/>
    <m/>
    <m/>
    <m/>
    <m/>
    <n v="68"/>
    <m/>
    <n v="68"/>
    <n v="34"/>
    <m/>
    <m/>
    <n v="68"/>
    <m/>
    <m/>
    <m/>
    <m/>
    <m/>
    <m/>
    <m/>
    <m/>
    <e v="#REF!"/>
    <e v="#REF!"/>
    <e v="#REF!"/>
    <e v="#REF!"/>
    <e v="#REF!"/>
    <e v="#REF!"/>
    <e v="#REF!"/>
    <e v="#REF!"/>
    <e v="#REF!"/>
    <e v="#REF!"/>
    <e v="#REF!"/>
    <e v="#REF!"/>
    <e v="#REF!"/>
    <n v="0"/>
    <e v="#REF!"/>
    <e v="#REF!"/>
    <e v="#REF!"/>
    <s v=""/>
    <m/>
  </r>
  <r>
    <x v="4"/>
    <x v="0"/>
    <m/>
    <s v="Kachin"/>
    <x v="2"/>
    <s v="Khun Thar Ward"/>
    <m/>
    <m/>
    <m/>
    <m/>
    <n v="166"/>
    <m/>
    <n v="166"/>
    <n v="83"/>
    <m/>
    <m/>
    <n v="166"/>
    <m/>
    <m/>
    <m/>
    <m/>
    <m/>
    <m/>
    <m/>
    <m/>
    <e v="#REF!"/>
    <e v="#REF!"/>
    <e v="#REF!"/>
    <e v="#REF!"/>
    <e v="#REF!"/>
    <e v="#REF!"/>
    <e v="#REF!"/>
    <e v="#REF!"/>
    <e v="#REF!"/>
    <e v="#REF!"/>
    <e v="#REF!"/>
    <e v="#REF!"/>
    <e v="#REF!"/>
    <n v="0"/>
    <e v="#REF!"/>
    <e v="#REF!"/>
    <e v="#REF!"/>
    <s v=""/>
    <m/>
  </r>
  <r>
    <x v="5"/>
    <x v="2"/>
    <s v="KBC"/>
    <s v="Kachin"/>
    <x v="4"/>
    <s v="Pan Hkawn Yang village"/>
    <m/>
    <m/>
    <m/>
    <m/>
    <n v="60"/>
    <n v="10"/>
    <n v="60"/>
    <m/>
    <n v="60"/>
    <n v="30"/>
    <n v="60"/>
    <m/>
    <m/>
    <m/>
    <m/>
    <m/>
    <n v="60"/>
    <m/>
    <m/>
    <e v="#REF!"/>
    <e v="#REF!"/>
    <e v="#REF!"/>
    <e v="#REF!"/>
    <e v="#REF!"/>
    <e v="#REF!"/>
    <e v="#REF!"/>
    <e v="#REF!"/>
    <e v="#REF!"/>
    <e v="#REF!"/>
    <e v="#REF!"/>
    <e v="#REF!"/>
    <e v="#REF!"/>
    <n v="0"/>
    <e v="#REF!"/>
    <e v="#REF!"/>
    <e v="#REF!"/>
    <s v=""/>
    <m/>
  </r>
  <r>
    <x v="6"/>
    <x v="2"/>
    <m/>
    <s v="Kachin"/>
    <x v="5"/>
    <s v="Loi Je Lisu Camp"/>
    <m/>
    <m/>
    <m/>
    <m/>
    <m/>
    <n v="2"/>
    <m/>
    <m/>
    <m/>
    <m/>
    <m/>
    <m/>
    <m/>
    <m/>
    <m/>
    <m/>
    <m/>
    <m/>
    <m/>
    <e v="#REF!"/>
    <e v="#REF!"/>
    <e v="#REF!"/>
    <e v="#REF!"/>
    <e v="#REF!"/>
    <e v="#REF!"/>
    <e v="#REF!"/>
    <e v="#REF!"/>
    <e v="#REF!"/>
    <e v="#REF!"/>
    <e v="#REF!"/>
    <e v="#REF!"/>
    <e v="#REF!"/>
    <n v="0"/>
    <e v="#REF!"/>
    <e v="#REF!"/>
    <e v="#REF!"/>
    <s v="MMR001CMP070"/>
    <m/>
  </r>
  <r>
    <x v="6"/>
    <x v="2"/>
    <m/>
    <s v="Kachin"/>
    <x v="2"/>
    <s v="Ta Gun Taing Monastery (Shwe Kyi Na)"/>
    <m/>
    <m/>
    <m/>
    <m/>
    <m/>
    <n v="2"/>
    <m/>
    <m/>
    <m/>
    <m/>
    <m/>
    <m/>
    <m/>
    <m/>
    <m/>
    <m/>
    <m/>
    <m/>
    <m/>
    <e v="#REF!"/>
    <e v="#REF!"/>
    <e v="#REF!"/>
    <e v="#REF!"/>
    <e v="#REF!"/>
    <e v="#REF!"/>
    <e v="#REF!"/>
    <e v="#REF!"/>
    <e v="#REF!"/>
    <e v="#REF!"/>
    <e v="#REF!"/>
    <e v="#REF!"/>
    <e v="#REF!"/>
    <n v="0"/>
    <e v="#REF!"/>
    <e v="#REF!"/>
    <e v="#REF!"/>
    <s v="MMR001CMP055"/>
    <m/>
  </r>
  <r>
    <x v="3"/>
    <x v="2"/>
    <m/>
    <s v="Kachin"/>
    <x v="6"/>
    <s v="Maing Khaung"/>
    <m/>
    <m/>
    <m/>
    <m/>
    <m/>
    <m/>
    <m/>
    <m/>
    <m/>
    <m/>
    <m/>
    <m/>
    <m/>
    <m/>
    <m/>
    <m/>
    <n v="166"/>
    <m/>
    <m/>
    <e v="#REF!"/>
    <e v="#REF!"/>
    <e v="#REF!"/>
    <e v="#REF!"/>
    <e v="#REF!"/>
    <e v="#REF!"/>
    <e v="#REF!"/>
    <e v="#REF!"/>
    <e v="#REF!"/>
    <e v="#REF!"/>
    <e v="#REF!"/>
    <e v="#REF!"/>
    <e v="#REF!"/>
    <n v="0"/>
    <e v="#REF!"/>
    <e v="#REF!"/>
    <e v="#REF!"/>
    <s v="MMR001CMP218"/>
    <m/>
  </r>
  <r>
    <x v="3"/>
    <x v="2"/>
    <m/>
    <s v="Kachin"/>
    <x v="6"/>
    <s v="Mai Hkawng KBC Camp-2"/>
    <m/>
    <m/>
    <m/>
    <m/>
    <m/>
    <m/>
    <m/>
    <m/>
    <m/>
    <m/>
    <m/>
    <m/>
    <m/>
    <m/>
    <m/>
    <m/>
    <n v="64"/>
    <m/>
    <m/>
    <e v="#REF!"/>
    <e v="#REF!"/>
    <e v="#REF!"/>
    <e v="#REF!"/>
    <e v="#REF!"/>
    <e v="#REF!"/>
    <e v="#REF!"/>
    <e v="#REF!"/>
    <e v="#REF!"/>
    <e v="#REF!"/>
    <e v="#REF!"/>
    <e v="#REF!"/>
    <e v="#REF!"/>
    <n v="0"/>
    <e v="#REF!"/>
    <e v="#REF!"/>
    <e v="#REF!"/>
    <s v=""/>
    <m/>
  </r>
  <r>
    <x v="7"/>
    <x v="3"/>
    <m/>
    <s v="Kachin"/>
    <x v="7"/>
    <s v="Pamati AG church"/>
    <m/>
    <n v="29"/>
    <m/>
    <m/>
    <m/>
    <m/>
    <m/>
    <m/>
    <m/>
    <m/>
    <m/>
    <m/>
    <m/>
    <m/>
    <m/>
    <m/>
    <m/>
    <m/>
    <m/>
    <e v="#REF!"/>
    <e v="#REF!"/>
    <e v="#REF!"/>
    <e v="#REF!"/>
    <e v="#REF!"/>
    <e v="#REF!"/>
    <e v="#REF!"/>
    <e v="#REF!"/>
    <e v="#REF!"/>
    <e v="#REF!"/>
    <e v="#REF!"/>
    <e v="#REF!"/>
    <e v="#REF!"/>
    <n v="0"/>
    <e v="#REF!"/>
    <e v="#REF!"/>
    <e v="#REF!"/>
    <s v=""/>
    <m/>
  </r>
  <r>
    <x v="8"/>
    <x v="3"/>
    <m/>
    <s v="Kachin"/>
    <x v="2"/>
    <s v="Host Families"/>
    <m/>
    <n v="131"/>
    <n v="141"/>
    <m/>
    <m/>
    <m/>
    <m/>
    <m/>
    <m/>
    <m/>
    <m/>
    <m/>
    <m/>
    <m/>
    <m/>
    <m/>
    <m/>
    <m/>
    <m/>
    <e v="#REF!"/>
    <e v="#REF!"/>
    <e v="#REF!"/>
    <e v="#REF!"/>
    <e v="#REF!"/>
    <e v="#REF!"/>
    <e v="#REF!"/>
    <e v="#REF!"/>
    <e v="#REF!"/>
    <e v="#REF!"/>
    <e v="#REF!"/>
    <e v="#REF!"/>
    <e v="#REF!"/>
    <n v="0"/>
    <e v="#REF!"/>
    <e v="#REF!"/>
    <e v="#REF!"/>
    <s v="MMR001CMP163"/>
    <m/>
  </r>
  <r>
    <x v="9"/>
    <x v="1"/>
    <s v="Shalom"/>
    <s v="Kachin"/>
    <x v="7"/>
    <s v="Ka bu dam village"/>
    <m/>
    <m/>
    <n v="17"/>
    <n v="14"/>
    <n v="25"/>
    <n v="17"/>
    <n v="38"/>
    <n v="17"/>
    <m/>
    <n v="17"/>
    <n v="26"/>
    <m/>
    <m/>
    <m/>
    <m/>
    <n v="17"/>
    <m/>
    <m/>
    <n v="17"/>
    <e v="#REF!"/>
    <e v="#REF!"/>
    <e v="#REF!"/>
    <e v="#REF!"/>
    <e v="#REF!"/>
    <e v="#REF!"/>
    <e v="#REF!"/>
    <e v="#REF!"/>
    <e v="#REF!"/>
    <e v="#REF!"/>
    <e v="#REF!"/>
    <e v="#REF!"/>
    <e v="#REF!"/>
    <n v="0"/>
    <e v="#REF!"/>
    <e v="#REF!"/>
    <e v="#REF!"/>
    <s v=""/>
    <m/>
  </r>
  <r>
    <x v="10"/>
    <x v="4"/>
    <m/>
    <s v="Kachin"/>
    <x v="2"/>
    <s v="Ta Gun Taing Monastery (Shwe Kyi Na)"/>
    <m/>
    <m/>
    <m/>
    <m/>
    <n v="20"/>
    <m/>
    <n v="40"/>
    <n v="20"/>
    <m/>
    <m/>
    <n v="20"/>
    <m/>
    <m/>
    <m/>
    <m/>
    <m/>
    <m/>
    <m/>
    <m/>
    <e v="#REF!"/>
    <e v="#REF!"/>
    <e v="#REF!"/>
    <e v="#REF!"/>
    <e v="#REF!"/>
    <e v="#REF!"/>
    <e v="#REF!"/>
    <e v="#REF!"/>
    <e v="#REF!"/>
    <e v="#REF!"/>
    <e v="#REF!"/>
    <e v="#REF!"/>
    <e v="#REF!"/>
    <n v="0"/>
    <e v="#REF!"/>
    <e v="#REF!"/>
    <e v="#REF!"/>
    <s v="MMR001CMP055"/>
    <m/>
  </r>
  <r>
    <x v="11"/>
    <x v="4"/>
    <m/>
    <s v="Kachin"/>
    <x v="2"/>
    <s v="Nant Hlaing Church"/>
    <m/>
    <m/>
    <m/>
    <m/>
    <m/>
    <m/>
    <m/>
    <n v="22"/>
    <m/>
    <m/>
    <m/>
    <m/>
    <m/>
    <m/>
    <m/>
    <m/>
    <m/>
    <m/>
    <m/>
    <e v="#REF!"/>
    <e v="#REF!"/>
    <e v="#REF!"/>
    <e v="#REF!"/>
    <e v="#REF!"/>
    <e v="#REF!"/>
    <e v="#REF!"/>
    <e v="#REF!"/>
    <e v="#REF!"/>
    <e v="#REF!"/>
    <e v="#REF!"/>
    <e v="#REF!"/>
    <e v="#REF!"/>
    <n v="0"/>
    <e v="#REF!"/>
    <e v="#REF!"/>
    <e v="#REF!"/>
    <s v="MMR001CMP054"/>
    <m/>
  </r>
  <r>
    <x v="11"/>
    <x v="4"/>
    <m/>
    <s v="Kachin"/>
    <x v="2"/>
    <s v="Yoe Kyi Monastery"/>
    <m/>
    <m/>
    <m/>
    <m/>
    <m/>
    <m/>
    <m/>
    <n v="14"/>
    <m/>
    <m/>
    <m/>
    <m/>
    <m/>
    <m/>
    <m/>
    <m/>
    <m/>
    <m/>
    <m/>
    <e v="#REF!"/>
    <e v="#REF!"/>
    <e v="#REF!"/>
    <e v="#REF!"/>
    <e v="#REF!"/>
    <e v="#REF!"/>
    <e v="#REF!"/>
    <e v="#REF!"/>
    <e v="#REF!"/>
    <e v="#REF!"/>
    <e v="#REF!"/>
    <e v="#REF!"/>
    <e v="#REF!"/>
    <n v="0"/>
    <e v="#REF!"/>
    <e v="#REF!"/>
    <e v="#REF!"/>
    <s v="MMR001CMP053"/>
    <m/>
  </r>
  <r>
    <x v="12"/>
    <x v="4"/>
    <m/>
    <s v="Kachin"/>
    <x v="6"/>
    <s v="Man Wing Catholic Church II"/>
    <m/>
    <m/>
    <m/>
    <m/>
    <n v="143"/>
    <m/>
    <n v="27"/>
    <n v="83"/>
    <m/>
    <m/>
    <n v="143"/>
    <m/>
    <m/>
    <m/>
    <m/>
    <m/>
    <n v="167"/>
    <m/>
    <m/>
    <e v="#REF!"/>
    <e v="#REF!"/>
    <e v="#REF!"/>
    <e v="#REF!"/>
    <e v="#REF!"/>
    <e v="#REF!"/>
    <e v="#REF!"/>
    <e v="#REF!"/>
    <e v="#REF!"/>
    <e v="#REF!"/>
    <e v="#REF!"/>
    <e v="#REF!"/>
    <e v="#REF!"/>
    <n v="0"/>
    <e v="#REF!"/>
    <e v="#REF!"/>
    <e v="#REF!"/>
    <s v="MMR001CMP228"/>
    <m/>
  </r>
  <r>
    <x v="12"/>
    <x v="4"/>
    <m/>
    <s v="Kachin"/>
    <x v="6"/>
    <s v="Man Wing Baptist Church"/>
    <m/>
    <m/>
    <m/>
    <m/>
    <n v="40"/>
    <m/>
    <m/>
    <m/>
    <m/>
    <m/>
    <n v="39"/>
    <m/>
    <m/>
    <m/>
    <m/>
    <m/>
    <n v="139"/>
    <m/>
    <m/>
    <e v="#REF!"/>
    <e v="#REF!"/>
    <e v="#REF!"/>
    <e v="#REF!"/>
    <e v="#REF!"/>
    <e v="#REF!"/>
    <e v="#REF!"/>
    <e v="#REF!"/>
    <e v="#REF!"/>
    <e v="#REF!"/>
    <e v="#REF!"/>
    <e v="#REF!"/>
    <e v="#REF!"/>
    <n v="0"/>
    <e v="#REF!"/>
    <e v="#REF!"/>
    <e v="#REF!"/>
    <s v="MMR001CMP133"/>
    <m/>
  </r>
  <r>
    <x v="13"/>
    <x v="4"/>
    <m/>
    <s v="Kachin"/>
    <x v="2"/>
    <s v="Host Families"/>
    <m/>
    <m/>
    <m/>
    <m/>
    <n v="79"/>
    <m/>
    <n v="158"/>
    <n v="79"/>
    <m/>
    <m/>
    <n v="79"/>
    <m/>
    <m/>
    <m/>
    <m/>
    <m/>
    <m/>
    <m/>
    <m/>
    <e v="#REF!"/>
    <e v="#REF!"/>
    <e v="#REF!"/>
    <e v="#REF!"/>
    <e v="#REF!"/>
    <e v="#REF!"/>
    <e v="#REF!"/>
    <e v="#REF!"/>
    <e v="#REF!"/>
    <e v="#REF!"/>
    <e v="#REF!"/>
    <e v="#REF!"/>
    <e v="#REF!"/>
    <n v="0"/>
    <e v="#REF!"/>
    <e v="#REF!"/>
    <e v="#REF!"/>
    <s v="MMR001CMP163"/>
    <m/>
  </r>
  <r>
    <x v="14"/>
    <x v="5"/>
    <m/>
    <s v="Kachin"/>
    <x v="0"/>
    <s v="Tanai"/>
    <n v="288"/>
    <m/>
    <m/>
    <m/>
    <m/>
    <m/>
    <m/>
    <m/>
    <m/>
    <m/>
    <m/>
    <m/>
    <m/>
    <m/>
    <m/>
    <m/>
    <m/>
    <m/>
    <m/>
    <e v="#REF!"/>
    <e v="#REF!"/>
    <e v="#REF!"/>
    <e v="#REF!"/>
    <e v="#REF!"/>
    <e v="#REF!"/>
    <e v="#REF!"/>
    <e v="#REF!"/>
    <e v="#REF!"/>
    <e v="#REF!"/>
    <e v="#REF!"/>
    <e v="#REF!"/>
    <e v="#REF!"/>
    <n v="0"/>
    <e v="#REF!"/>
    <e v="#REF!"/>
    <e v="#REF!"/>
    <s v=""/>
    <s v="Data source Metta"/>
  </r>
  <r>
    <x v="14"/>
    <x v="6"/>
    <m/>
    <s v="Kachin"/>
    <x v="0"/>
    <s v="Tanai"/>
    <m/>
    <m/>
    <m/>
    <m/>
    <n v="255"/>
    <n v="255"/>
    <n v="255"/>
    <m/>
    <m/>
    <m/>
    <m/>
    <m/>
    <m/>
    <m/>
    <m/>
    <m/>
    <m/>
    <m/>
    <m/>
    <e v="#REF!"/>
    <e v="#REF!"/>
    <e v="#REF!"/>
    <e v="#REF!"/>
    <e v="#REF!"/>
    <e v="#REF!"/>
    <e v="#REF!"/>
    <e v="#REF!"/>
    <e v="#REF!"/>
    <e v="#REF!"/>
    <e v="#REF!"/>
    <e v="#REF!"/>
    <e v="#REF!"/>
    <n v="0"/>
    <e v="#REF!"/>
    <e v="#REF!"/>
    <e v="#REF!"/>
    <s v=""/>
    <s v="Data source MRCS"/>
  </r>
  <r>
    <x v="15"/>
    <x v="2"/>
    <m/>
    <s v="Shan_North"/>
    <x v="8"/>
    <s v="Nam Tu Baptist"/>
    <m/>
    <m/>
    <m/>
    <m/>
    <n v="46"/>
    <n v="9"/>
    <n v="46"/>
    <n v="46"/>
    <m/>
    <m/>
    <n v="46"/>
    <m/>
    <m/>
    <m/>
    <m/>
    <m/>
    <m/>
    <m/>
    <m/>
    <e v="#REF!"/>
    <e v="#REF!"/>
    <e v="#REF!"/>
    <e v="#REF!"/>
    <e v="#REF!"/>
    <e v="#REF!"/>
    <e v="#REF!"/>
    <e v="#REF!"/>
    <e v="#REF!"/>
    <e v="#REF!"/>
    <e v="#REF!"/>
    <e v="#REF!"/>
    <e v="#REF!"/>
    <n v="0"/>
    <e v="#REF!"/>
    <e v="#REF!"/>
    <e v="#REF!"/>
    <s v="MMR015CMP014"/>
    <s v="3/Jul/2017: Updated NFI distribution. Data source NRC."/>
  </r>
  <r>
    <x v="15"/>
    <x v="2"/>
    <m/>
    <s v="Shan_North"/>
    <x v="8"/>
    <s v="Lisu Church Namtu"/>
    <m/>
    <m/>
    <m/>
    <m/>
    <n v="25"/>
    <n v="5"/>
    <n v="25"/>
    <n v="25"/>
    <m/>
    <m/>
    <n v="25"/>
    <m/>
    <m/>
    <m/>
    <m/>
    <m/>
    <m/>
    <m/>
    <m/>
    <e v="#REF!"/>
    <e v="#REF!"/>
    <e v="#REF!"/>
    <e v="#REF!"/>
    <e v="#REF!"/>
    <e v="#REF!"/>
    <e v="#REF!"/>
    <e v="#REF!"/>
    <e v="#REF!"/>
    <e v="#REF!"/>
    <e v="#REF!"/>
    <e v="#REF!"/>
    <e v="#REF!"/>
    <n v="0"/>
    <e v="#REF!"/>
    <e v="#REF!"/>
    <e v="#REF!"/>
    <s v="MMR015CMP232"/>
    <s v="3/Jul/2017: Updated NFI distribution. Data source NRC."/>
  </r>
  <r>
    <x v="15"/>
    <x v="2"/>
    <m/>
    <s v="Shan_North"/>
    <x v="8"/>
    <s v="Pan Ta Pyae"/>
    <m/>
    <m/>
    <m/>
    <m/>
    <n v="16"/>
    <n v="3"/>
    <n v="16"/>
    <n v="16"/>
    <m/>
    <m/>
    <n v="16"/>
    <m/>
    <m/>
    <m/>
    <m/>
    <m/>
    <m/>
    <m/>
    <m/>
    <e v="#REF!"/>
    <e v="#REF!"/>
    <e v="#REF!"/>
    <e v="#REF!"/>
    <e v="#REF!"/>
    <e v="#REF!"/>
    <e v="#REF!"/>
    <e v="#REF!"/>
    <e v="#REF!"/>
    <e v="#REF!"/>
    <e v="#REF!"/>
    <e v="#REF!"/>
    <e v="#REF!"/>
    <n v="0"/>
    <e v="#REF!"/>
    <e v="#REF!"/>
    <e v="#REF!"/>
    <s v="MMR015CMP221"/>
    <s v="3/Jul/2017: Updated NFI distribution. Data source NRC."/>
  </r>
  <r>
    <x v="15"/>
    <x v="2"/>
    <m/>
    <s v="Shan_North"/>
    <x v="8"/>
    <s v="Kyu Sot"/>
    <m/>
    <m/>
    <m/>
    <m/>
    <n v="60"/>
    <m/>
    <n v="60"/>
    <n v="60"/>
    <m/>
    <m/>
    <n v="60"/>
    <m/>
    <m/>
    <m/>
    <m/>
    <m/>
    <m/>
    <m/>
    <m/>
    <e v="#REF!"/>
    <e v="#REF!"/>
    <e v="#REF!"/>
    <e v="#REF!"/>
    <e v="#REF!"/>
    <e v="#REF!"/>
    <e v="#REF!"/>
    <e v="#REF!"/>
    <e v="#REF!"/>
    <e v="#REF!"/>
    <e v="#REF!"/>
    <e v="#REF!"/>
    <e v="#REF!"/>
    <n v="0"/>
    <e v="#REF!"/>
    <e v="#REF!"/>
    <e v="#REF!"/>
    <s v="MMR015CMP248"/>
    <s v="3/Jul/2017: Updated NFI distribution. Data source NRC."/>
  </r>
  <r>
    <x v="16"/>
    <x v="2"/>
    <m/>
    <s v="Shan_North"/>
    <x v="9"/>
    <s v="Mai Yu Lay Ta'ang"/>
    <m/>
    <m/>
    <m/>
    <m/>
    <n v="143"/>
    <n v="62"/>
    <n v="286"/>
    <n v="143"/>
    <m/>
    <m/>
    <n v="143"/>
    <m/>
    <m/>
    <m/>
    <m/>
    <m/>
    <m/>
    <m/>
    <m/>
    <e v="#REF!"/>
    <e v="#REF!"/>
    <e v="#REF!"/>
    <e v="#REF!"/>
    <e v="#REF!"/>
    <e v="#REF!"/>
    <e v="#REF!"/>
    <e v="#REF!"/>
    <e v="#REF!"/>
    <e v="#REF!"/>
    <e v="#REF!"/>
    <e v="#REF!"/>
    <e v="#REF!"/>
    <n v="0"/>
    <e v="#REF!"/>
    <e v="#REF!"/>
    <e v="#REF!"/>
    <s v="MMR015CMP220"/>
    <s v="3/Jul/2017: Updated NFI distribution. Data source NRC."/>
  </r>
  <r>
    <x v="17"/>
    <x v="2"/>
    <m/>
    <s v="Shan_North"/>
    <x v="9"/>
    <s v="Man Loi"/>
    <m/>
    <m/>
    <m/>
    <m/>
    <n v="24"/>
    <n v="9"/>
    <n v="48"/>
    <n v="24"/>
    <m/>
    <m/>
    <n v="24"/>
    <m/>
    <m/>
    <m/>
    <m/>
    <m/>
    <m/>
    <m/>
    <m/>
    <e v="#REF!"/>
    <e v="#REF!"/>
    <e v="#REF!"/>
    <e v="#REF!"/>
    <e v="#REF!"/>
    <e v="#REF!"/>
    <e v="#REF!"/>
    <e v="#REF!"/>
    <e v="#REF!"/>
    <e v="#REF!"/>
    <e v="#REF!"/>
    <e v="#REF!"/>
    <e v="#REF!"/>
    <n v="0"/>
    <e v="#REF!"/>
    <e v="#REF!"/>
    <e v="#REF!"/>
    <s v="MMR015CMP246"/>
    <s v="3/Jul/2017: Updated NFI distribution. Data source NRC."/>
  </r>
  <r>
    <x v="17"/>
    <x v="2"/>
    <m/>
    <s v="Shan_North"/>
    <x v="9"/>
    <s v="Kutkai downtown (KBC Church-2)"/>
    <m/>
    <m/>
    <m/>
    <m/>
    <m/>
    <n v="24"/>
    <m/>
    <m/>
    <m/>
    <m/>
    <m/>
    <m/>
    <m/>
    <m/>
    <m/>
    <m/>
    <m/>
    <m/>
    <m/>
    <e v="#REF!"/>
    <e v="#REF!"/>
    <e v="#REF!"/>
    <e v="#REF!"/>
    <e v="#REF!"/>
    <e v="#REF!"/>
    <e v="#REF!"/>
    <e v="#REF!"/>
    <e v="#REF!"/>
    <e v="#REF!"/>
    <e v="#REF!"/>
    <e v="#REF!"/>
    <e v="#REF!"/>
    <n v="0"/>
    <e v="#REF!"/>
    <e v="#REF!"/>
    <e v="#REF!"/>
    <s v="MMR015CMP245"/>
    <m/>
  </r>
  <r>
    <x v="18"/>
    <x v="2"/>
    <m/>
    <s v="Shan_North"/>
    <x v="9"/>
    <s v="Kutkai downtown (KBC Church-2)"/>
    <m/>
    <m/>
    <m/>
    <m/>
    <n v="46"/>
    <n v="12"/>
    <n v="92"/>
    <n v="46"/>
    <m/>
    <m/>
    <n v="46"/>
    <m/>
    <m/>
    <m/>
    <m/>
    <m/>
    <m/>
    <m/>
    <m/>
    <e v="#REF!"/>
    <e v="#REF!"/>
    <e v="#REF!"/>
    <e v="#REF!"/>
    <e v="#REF!"/>
    <e v="#REF!"/>
    <e v="#REF!"/>
    <e v="#REF!"/>
    <e v="#REF!"/>
    <e v="#REF!"/>
    <e v="#REF!"/>
    <e v="#REF!"/>
    <e v="#REF!"/>
    <n v="0"/>
    <e v="#REF!"/>
    <e v="#REF!"/>
    <e v="#REF!"/>
    <s v="MMR015CMP245"/>
    <s v="3/Jul/2017: Updated NFI distribution. Data source NRC."/>
  </r>
  <r>
    <x v="19"/>
    <x v="2"/>
    <m/>
    <s v="Kachin"/>
    <x v="6"/>
    <s v="Man Kawng Catholic Church"/>
    <m/>
    <m/>
    <m/>
    <m/>
    <m/>
    <m/>
    <n v="350"/>
    <n v="38"/>
    <m/>
    <m/>
    <n v="175"/>
    <m/>
    <m/>
    <m/>
    <m/>
    <m/>
    <m/>
    <m/>
    <m/>
    <e v="#REF!"/>
    <e v="#REF!"/>
    <e v="#REF!"/>
    <e v="#REF!"/>
    <e v="#REF!"/>
    <e v="#REF!"/>
    <e v="#REF!"/>
    <e v="#REF!"/>
    <e v="#REF!"/>
    <e v="#REF!"/>
    <e v="#REF!"/>
    <e v="#REF!"/>
    <e v="#REF!"/>
    <n v="0"/>
    <e v="#REF!"/>
    <e v="#REF!"/>
    <e v="#REF!"/>
    <s v="MMR001CMP213"/>
    <m/>
  </r>
  <r>
    <x v="20"/>
    <x v="2"/>
    <m/>
    <s v="Shan_North"/>
    <x v="10"/>
    <s v="Nam Sa Larp"/>
    <m/>
    <m/>
    <m/>
    <m/>
    <n v="57"/>
    <m/>
    <m/>
    <n v="57"/>
    <m/>
    <m/>
    <n v="57"/>
    <m/>
    <m/>
    <m/>
    <m/>
    <m/>
    <m/>
    <m/>
    <m/>
    <e v="#REF!"/>
    <e v="#REF!"/>
    <e v="#REF!"/>
    <e v="#REF!"/>
    <e v="#REF!"/>
    <e v="#REF!"/>
    <e v="#REF!"/>
    <e v="#REF!"/>
    <e v="#REF!"/>
    <e v="#REF!"/>
    <e v="#REF!"/>
    <e v="#REF!"/>
    <e v="#REF!"/>
    <n v="0"/>
    <e v="#REF!"/>
    <e v="#REF!"/>
    <e v="#REF!"/>
    <s v="MMR015CMP218"/>
    <s v="3/Jul/2017: Updated NFI distribution. Data source NRC."/>
  </r>
  <r>
    <x v="21"/>
    <x v="2"/>
    <m/>
    <s v="Kachin"/>
    <x v="2"/>
    <s v="Pang Hkawng Yang"/>
    <m/>
    <m/>
    <m/>
    <m/>
    <n v="54"/>
    <n v="6"/>
    <n v="108"/>
    <n v="54"/>
    <m/>
    <m/>
    <n v="54"/>
    <m/>
    <m/>
    <m/>
    <m/>
    <m/>
    <m/>
    <m/>
    <m/>
    <e v="#REF!"/>
    <e v="#REF!"/>
    <e v="#REF!"/>
    <e v="#REF!"/>
    <e v="#REF!"/>
    <e v="#REF!"/>
    <e v="#REF!"/>
    <e v="#REF!"/>
    <e v="#REF!"/>
    <e v="#REF!"/>
    <e v="#REF!"/>
    <e v="#REF!"/>
    <e v="#REF!"/>
    <n v="0"/>
    <e v="#REF!"/>
    <e v="#REF!"/>
    <e v="#REF!"/>
    <s v=""/>
    <s v="Update date: 3/Jul/2017. Data source NRC. Distribution for Storm affected villages."/>
  </r>
  <r>
    <x v="22"/>
    <x v="7"/>
    <m/>
    <s v="Kachin"/>
    <x v="11"/>
    <s v="Hkat Cho "/>
    <m/>
    <m/>
    <n v="3"/>
    <n v="3"/>
    <n v="9"/>
    <n v="3"/>
    <n v="10"/>
    <n v="5"/>
    <m/>
    <n v="5"/>
    <n v="28"/>
    <m/>
    <m/>
    <m/>
    <m/>
    <m/>
    <m/>
    <m/>
    <m/>
    <e v="#REF!"/>
    <e v="#REF!"/>
    <e v="#REF!"/>
    <e v="#REF!"/>
    <e v="#REF!"/>
    <e v="#REF!"/>
    <e v="#REF!"/>
    <e v="#REF!"/>
    <e v="#REF!"/>
    <e v="#REF!"/>
    <e v="#REF!"/>
    <e v="#REF!"/>
    <e v="#REF!"/>
    <n v="0"/>
    <e v="#REF!"/>
    <e v="#REF!"/>
    <e v="#REF!"/>
    <s v="MMR001CMP028"/>
    <m/>
  </r>
  <r>
    <x v="22"/>
    <x v="7"/>
    <m/>
    <s v="Kachin"/>
    <x v="11"/>
    <s v="Thargaya Lisu Baptist Church"/>
    <m/>
    <m/>
    <n v="1"/>
    <n v="1"/>
    <n v="3"/>
    <n v="1"/>
    <n v="3"/>
    <n v="1"/>
    <m/>
    <n v="1"/>
    <n v="3"/>
    <m/>
    <m/>
    <m/>
    <m/>
    <m/>
    <m/>
    <m/>
    <m/>
    <e v="#REF!"/>
    <e v="#REF!"/>
    <e v="#REF!"/>
    <e v="#REF!"/>
    <e v="#REF!"/>
    <e v="#REF!"/>
    <e v="#REF!"/>
    <e v="#REF!"/>
    <e v="#REF!"/>
    <e v="#REF!"/>
    <e v="#REF!"/>
    <e v="#REF!"/>
    <e v="#REF!"/>
    <n v="0"/>
    <e v="#REF!"/>
    <e v="#REF!"/>
    <e v="#REF!"/>
    <s v="MMR001CMP037"/>
    <m/>
  </r>
  <r>
    <x v="22"/>
    <x v="7"/>
    <m/>
    <s v="Kachin"/>
    <x v="11"/>
    <s v="Nawng Hee Village"/>
    <m/>
    <m/>
    <n v="1"/>
    <n v="1"/>
    <n v="2"/>
    <n v="1"/>
    <n v="2"/>
    <n v="1"/>
    <m/>
    <n v="1"/>
    <n v="3"/>
    <m/>
    <m/>
    <m/>
    <m/>
    <m/>
    <m/>
    <m/>
    <m/>
    <e v="#REF!"/>
    <e v="#REF!"/>
    <e v="#REF!"/>
    <e v="#REF!"/>
    <e v="#REF!"/>
    <e v="#REF!"/>
    <e v="#REF!"/>
    <e v="#REF!"/>
    <e v="#REF!"/>
    <e v="#REF!"/>
    <e v="#REF!"/>
    <e v="#REF!"/>
    <e v="#REF!"/>
    <n v="0"/>
    <e v="#REF!"/>
    <e v="#REF!"/>
    <e v="#REF!"/>
    <s v="MMR001CMP033"/>
    <m/>
  </r>
  <r>
    <x v="22"/>
    <x v="7"/>
    <m/>
    <s v="Kachin"/>
    <x v="11"/>
    <s v="Waingmaw AG Church"/>
    <m/>
    <m/>
    <n v="2"/>
    <n v="2"/>
    <n v="7"/>
    <n v="6"/>
    <n v="7"/>
    <n v="2"/>
    <m/>
    <n v="2"/>
    <n v="9"/>
    <m/>
    <m/>
    <m/>
    <m/>
    <m/>
    <m/>
    <m/>
    <m/>
    <e v="#REF!"/>
    <e v="#REF!"/>
    <e v="#REF!"/>
    <e v="#REF!"/>
    <e v="#REF!"/>
    <e v="#REF!"/>
    <e v="#REF!"/>
    <e v="#REF!"/>
    <e v="#REF!"/>
    <e v="#REF!"/>
    <e v="#REF!"/>
    <e v="#REF!"/>
    <e v="#REF!"/>
    <n v="0"/>
    <e v="#REF!"/>
    <e v="#REF!"/>
    <e v="#REF!"/>
    <s v="MMR001CMP038"/>
    <m/>
  </r>
  <r>
    <x v="23"/>
    <x v="0"/>
    <s v="Solidarites"/>
    <s v="Kachin"/>
    <x v="11"/>
    <s v="Qtr. 2 Lhaovo Baptist Church"/>
    <m/>
    <n v="10"/>
    <m/>
    <n v="90"/>
    <m/>
    <m/>
    <m/>
    <m/>
    <m/>
    <n v="10"/>
    <m/>
    <m/>
    <m/>
    <m/>
    <m/>
    <n v="10"/>
    <m/>
    <m/>
    <m/>
    <e v="#REF!"/>
    <e v="#REF!"/>
    <e v="#REF!"/>
    <e v="#REF!"/>
    <e v="#REF!"/>
    <e v="#REF!"/>
    <e v="#REF!"/>
    <e v="#REF!"/>
    <e v="#REF!"/>
    <e v="#REF!"/>
    <e v="#REF!"/>
    <e v="#REF!"/>
    <e v="#REF!"/>
    <n v="0"/>
    <e v="#REF!"/>
    <e v="#REF!"/>
    <e v="#REF!"/>
    <s v="MMR001CMP032"/>
    <s v="Update date: 15/May/2017. Data source: SI "/>
  </r>
  <r>
    <x v="24"/>
    <x v="1"/>
    <s v="Shalom"/>
    <s v="Kachin"/>
    <x v="11"/>
    <s v="Qtr. 2 Lhaovo Baptist Church"/>
    <m/>
    <m/>
    <n v="17"/>
    <n v="17"/>
    <n v="58"/>
    <n v="17"/>
    <n v="58"/>
    <n v="17"/>
    <m/>
    <n v="17"/>
    <n v="76"/>
    <m/>
    <m/>
    <m/>
    <m/>
    <n v="17"/>
    <m/>
    <m/>
    <n v="15"/>
    <e v="#REF!"/>
    <e v="#REF!"/>
    <e v="#REF!"/>
    <e v="#REF!"/>
    <e v="#REF!"/>
    <e v="#REF!"/>
    <e v="#REF!"/>
    <e v="#REF!"/>
    <e v="#REF!"/>
    <e v="#REF!"/>
    <e v="#REF!"/>
    <e v="#REF!"/>
    <e v="#REF!"/>
    <n v="0"/>
    <e v="#REF!"/>
    <e v="#REF!"/>
    <e v="#REF!"/>
    <s v="MMR001CMP032"/>
    <s v="Update date: 2/June/2017. Data source: CAR_April"/>
  </r>
  <r>
    <x v="25"/>
    <x v="2"/>
    <s v="NRC"/>
    <s v="Kachin"/>
    <x v="6"/>
    <s v="Maing Khaung Catholic Church"/>
    <m/>
    <m/>
    <m/>
    <m/>
    <m/>
    <m/>
    <m/>
    <m/>
    <m/>
    <m/>
    <m/>
    <n v="144"/>
    <m/>
    <m/>
    <n v="36"/>
    <m/>
    <m/>
    <m/>
    <m/>
    <e v="#REF!"/>
    <e v="#REF!"/>
    <e v="#REF!"/>
    <e v="#REF!"/>
    <e v="#REF!"/>
    <e v="#REF!"/>
    <e v="#REF!"/>
    <e v="#REF!"/>
    <e v="#REF!"/>
    <e v="#REF!"/>
    <e v="#REF!"/>
    <e v="#REF!"/>
    <e v="#REF!"/>
    <n v="1"/>
    <e v="#REF!"/>
    <e v="#REF!"/>
    <e v="#REF!"/>
    <s v="MMR001CMP223"/>
    <s v="Update date: 16/May/2017. Data source: NRC"/>
  </r>
  <r>
    <x v="26"/>
    <x v="2"/>
    <s v="NRC"/>
    <s v="Shan_North"/>
    <x v="9"/>
    <s v="Kutkai downtown (RC Church)"/>
    <m/>
    <m/>
    <m/>
    <m/>
    <m/>
    <m/>
    <m/>
    <m/>
    <m/>
    <m/>
    <m/>
    <n v="540"/>
    <m/>
    <m/>
    <n v="135"/>
    <m/>
    <m/>
    <m/>
    <m/>
    <e v="#REF!"/>
    <e v="#REF!"/>
    <e v="#REF!"/>
    <e v="#REF!"/>
    <e v="#REF!"/>
    <e v="#REF!"/>
    <e v="#REF!"/>
    <e v="#REF!"/>
    <e v="#REF!"/>
    <e v="#REF!"/>
    <e v="#REF!"/>
    <e v="#REF!"/>
    <e v="#REF!"/>
    <n v="1"/>
    <e v="#REF!"/>
    <e v="#REF!"/>
    <e v="#REF!"/>
    <s v="MMR015CMP017"/>
    <s v="Update date: 16/May/2017. Data source: NRC"/>
  </r>
  <r>
    <x v="27"/>
    <x v="1"/>
    <s v="Shalom"/>
    <s v="Kachin"/>
    <x v="11"/>
    <s v="Nawng Hee Village"/>
    <m/>
    <m/>
    <n v="5"/>
    <n v="5"/>
    <n v="10"/>
    <n v="5"/>
    <n v="10"/>
    <n v="5"/>
    <m/>
    <n v="5"/>
    <n v="28"/>
    <m/>
    <m/>
    <m/>
    <m/>
    <n v="5"/>
    <m/>
    <m/>
    <m/>
    <e v="#REF!"/>
    <e v="#REF!"/>
    <e v="#REF!"/>
    <e v="#REF!"/>
    <e v="#REF!"/>
    <e v="#REF!"/>
    <e v="#REF!"/>
    <e v="#REF!"/>
    <e v="#REF!"/>
    <e v="#REF!"/>
    <e v="#REF!"/>
    <e v="#REF!"/>
    <e v="#REF!"/>
    <n v="0"/>
    <e v="#REF!"/>
    <e v="#REF!"/>
    <e v="#REF!"/>
    <s v="MMR001CMP033"/>
    <s v="3/May/2017: Update NFI distribution data. Data source: Shalom (CAR_March data)"/>
  </r>
  <r>
    <x v="28"/>
    <x v="1"/>
    <s v="KBC"/>
    <s v="Kachin"/>
    <x v="12"/>
    <s v="Salang Yang"/>
    <m/>
    <m/>
    <m/>
    <m/>
    <m/>
    <m/>
    <n v="134"/>
    <m/>
    <m/>
    <m/>
    <m/>
    <m/>
    <m/>
    <m/>
    <m/>
    <m/>
    <m/>
    <m/>
    <m/>
    <e v="#REF!"/>
    <e v="#REF!"/>
    <e v="#REF!"/>
    <e v="#REF!"/>
    <e v="#REF!"/>
    <e v="#REF!"/>
    <e v="#REF!"/>
    <e v="#REF!"/>
    <e v="#REF!"/>
    <e v="#REF!"/>
    <e v="#REF!"/>
    <e v="#REF!"/>
    <e v="#REF!"/>
    <n v="0"/>
    <e v="#REF!"/>
    <e v="#REF!"/>
    <e v="#REF!"/>
    <s v="MMR001CMP239"/>
    <s v="2/June/2017: Update blanket data. Data source: KBC"/>
  </r>
  <r>
    <x v="29"/>
    <x v="1"/>
    <s v="KBC"/>
    <s v="Kachin"/>
    <x v="12"/>
    <s v="Ndup Yang"/>
    <m/>
    <m/>
    <m/>
    <m/>
    <m/>
    <m/>
    <n v="292"/>
    <m/>
    <m/>
    <m/>
    <m/>
    <m/>
    <m/>
    <m/>
    <m/>
    <m/>
    <m/>
    <m/>
    <m/>
    <e v="#REF!"/>
    <e v="#REF!"/>
    <e v="#REF!"/>
    <e v="#REF!"/>
    <e v="#REF!"/>
    <e v="#REF!"/>
    <e v="#REF!"/>
    <e v="#REF!"/>
    <e v="#REF!"/>
    <e v="#REF!"/>
    <e v="#REF!"/>
    <e v="#REF!"/>
    <e v="#REF!"/>
    <n v="0"/>
    <e v="#REF!"/>
    <e v="#REF!"/>
    <e v="#REF!"/>
    <s v="MMR001CMP238"/>
    <s v="2/June/2017: Update blanket data. Data source: KBC"/>
  </r>
  <r>
    <x v="30"/>
    <x v="1"/>
    <s v="Shalom"/>
    <s v="Kachin"/>
    <x v="13"/>
    <s v="Lhaovao Baptist Church (LBC)"/>
    <m/>
    <m/>
    <m/>
    <m/>
    <m/>
    <m/>
    <m/>
    <m/>
    <m/>
    <m/>
    <m/>
    <n v="97"/>
    <n v="203"/>
    <m/>
    <m/>
    <m/>
    <m/>
    <m/>
    <m/>
    <e v="#REF!"/>
    <e v="#REF!"/>
    <e v="#REF!"/>
    <e v="#REF!"/>
    <e v="#REF!"/>
    <e v="#REF!"/>
    <e v="#REF!"/>
    <e v="#REF!"/>
    <e v="#REF!"/>
    <e v="#REF!"/>
    <e v="#REF!"/>
    <e v="#REF!"/>
    <e v="#REF!"/>
    <n v="1"/>
    <e v="#REF!"/>
    <e v="#REF!"/>
    <e v="#REF!"/>
    <s v="MMR001CMP195"/>
    <s v="3/May/2017: Update NFI distribution data. Data source: Shalom (CAR_March data)"/>
  </r>
  <r>
    <x v="31"/>
    <x v="1"/>
    <s v="Shalom"/>
    <s v="Kachin"/>
    <x v="13"/>
    <s v="Chipwi KBC camp"/>
    <m/>
    <m/>
    <m/>
    <m/>
    <m/>
    <m/>
    <m/>
    <m/>
    <m/>
    <m/>
    <m/>
    <n v="79"/>
    <n v="152"/>
    <m/>
    <m/>
    <m/>
    <m/>
    <m/>
    <m/>
    <e v="#REF!"/>
    <e v="#REF!"/>
    <e v="#REF!"/>
    <e v="#REF!"/>
    <e v="#REF!"/>
    <e v="#REF!"/>
    <e v="#REF!"/>
    <e v="#REF!"/>
    <e v="#REF!"/>
    <e v="#REF!"/>
    <e v="#REF!"/>
    <e v="#REF!"/>
    <e v="#REF!"/>
    <n v="1"/>
    <e v="#REF!"/>
    <e v="#REF!"/>
    <e v="#REF!"/>
    <s v="MMR001CMP042"/>
    <s v="3/May/2017: Update NFI distribution data. Data source: Shalom (CAR_March data)"/>
  </r>
  <r>
    <x v="31"/>
    <x v="0"/>
    <s v="Solidarites"/>
    <s v="Kachin"/>
    <x v="11"/>
    <s v="Woi Chyai "/>
    <m/>
    <m/>
    <n v="6"/>
    <m/>
    <n v="12"/>
    <m/>
    <n v="12"/>
    <m/>
    <m/>
    <m/>
    <n v="12"/>
    <m/>
    <m/>
    <m/>
    <m/>
    <m/>
    <m/>
    <m/>
    <m/>
    <e v="#REF!"/>
    <e v="#REF!"/>
    <e v="#REF!"/>
    <e v="#REF!"/>
    <e v="#REF!"/>
    <e v="#REF!"/>
    <e v="#REF!"/>
    <e v="#REF!"/>
    <e v="#REF!"/>
    <e v="#REF!"/>
    <e v="#REF!"/>
    <e v="#REF!"/>
    <e v="#REF!"/>
    <n v="0"/>
    <e v="#REF!"/>
    <e v="#REF!"/>
    <e v="#REF!"/>
    <s v="MMR001CMP116"/>
    <s v="Update date: 15/May/2017. Data source: SI "/>
  </r>
  <r>
    <x v="32"/>
    <x v="0"/>
    <s v="Solidarites"/>
    <s v="Kachin"/>
    <x v="5"/>
    <s v="Hpun Lum Yang "/>
    <m/>
    <m/>
    <n v="8"/>
    <m/>
    <n v="16"/>
    <m/>
    <n v="16"/>
    <m/>
    <m/>
    <m/>
    <n v="16"/>
    <m/>
    <m/>
    <m/>
    <m/>
    <m/>
    <m/>
    <m/>
    <m/>
    <e v="#REF!"/>
    <e v="#REF!"/>
    <e v="#REF!"/>
    <e v="#REF!"/>
    <e v="#REF!"/>
    <e v="#REF!"/>
    <e v="#REF!"/>
    <e v="#REF!"/>
    <e v="#REF!"/>
    <e v="#REF!"/>
    <e v="#REF!"/>
    <e v="#REF!"/>
    <e v="#REF!"/>
    <n v="0"/>
    <e v="#REF!"/>
    <e v="#REF!"/>
    <e v="#REF!"/>
    <s v="MMR001CMP122"/>
    <s v="Update date: 15/May/2017. Data source: SI "/>
  </r>
  <r>
    <x v="32"/>
    <x v="0"/>
    <s v="Solidarites"/>
    <s v="Kachin"/>
    <x v="11"/>
    <s v="Je Yang Hka "/>
    <m/>
    <m/>
    <n v="6"/>
    <m/>
    <n v="12"/>
    <m/>
    <n v="12"/>
    <m/>
    <m/>
    <m/>
    <n v="12"/>
    <m/>
    <m/>
    <m/>
    <m/>
    <m/>
    <m/>
    <m/>
    <m/>
    <e v="#REF!"/>
    <e v="#REF!"/>
    <e v="#REF!"/>
    <e v="#REF!"/>
    <e v="#REF!"/>
    <e v="#REF!"/>
    <e v="#REF!"/>
    <e v="#REF!"/>
    <e v="#REF!"/>
    <e v="#REF!"/>
    <e v="#REF!"/>
    <e v="#REF!"/>
    <e v="#REF!"/>
    <n v="0"/>
    <e v="#REF!"/>
    <e v="#REF!"/>
    <e v="#REF!"/>
    <s v="MMR001CMP121"/>
    <s v="Update date: 15/May/2017. Data source: SI "/>
  </r>
  <r>
    <x v="33"/>
    <x v="0"/>
    <s v="Solidarites"/>
    <s v="Kachin"/>
    <x v="11"/>
    <s v="Hka Shi"/>
    <m/>
    <n v="55"/>
    <m/>
    <n v="495"/>
    <m/>
    <m/>
    <m/>
    <m/>
    <m/>
    <n v="55"/>
    <m/>
    <m/>
    <m/>
    <m/>
    <m/>
    <n v="55"/>
    <m/>
    <m/>
    <m/>
    <e v="#REF!"/>
    <e v="#REF!"/>
    <e v="#REF!"/>
    <e v="#REF!"/>
    <e v="#REF!"/>
    <e v="#REF!"/>
    <e v="#REF!"/>
    <e v="#REF!"/>
    <e v="#REF!"/>
    <e v="#REF!"/>
    <e v="#REF!"/>
    <e v="#REF!"/>
    <e v="#REF!"/>
    <n v="0"/>
    <e v="#REF!"/>
    <e v="#REF!"/>
    <e v="#REF!"/>
    <s v="MMR001CMP248"/>
    <s v="Update date: 15/May/2017. Data source: SI "/>
  </r>
  <r>
    <x v="33"/>
    <x v="0"/>
    <s v="Solidarites"/>
    <s v="Kachin"/>
    <x v="11"/>
    <s v="Sadung"/>
    <m/>
    <n v="91"/>
    <n v="92"/>
    <n v="546"/>
    <n v="184"/>
    <n v="170"/>
    <n v="184"/>
    <m/>
    <m/>
    <n v="91"/>
    <n v="184"/>
    <m/>
    <m/>
    <m/>
    <m/>
    <n v="91"/>
    <m/>
    <n v="85"/>
    <m/>
    <e v="#REF!"/>
    <e v="#REF!"/>
    <e v="#REF!"/>
    <e v="#REF!"/>
    <e v="#REF!"/>
    <e v="#REF!"/>
    <e v="#REF!"/>
    <e v="#REF!"/>
    <e v="#REF!"/>
    <e v="#REF!"/>
    <e v="#REF!"/>
    <e v="#REF!"/>
    <e v="#REF!"/>
    <n v="0"/>
    <e v="#REF!"/>
    <e v="#REF!"/>
    <e v="#REF!"/>
    <s v=""/>
    <s v="Update date: 15/May/2017. Data source: SI (IDP site)"/>
  </r>
  <r>
    <x v="34"/>
    <x v="1"/>
    <s v="KBC"/>
    <s v="Kachin"/>
    <x v="14"/>
    <s v="Shar Du Zut KBC church "/>
    <m/>
    <m/>
    <m/>
    <m/>
    <m/>
    <m/>
    <m/>
    <m/>
    <m/>
    <m/>
    <m/>
    <n v="62"/>
    <n v="33"/>
    <m/>
    <m/>
    <m/>
    <m/>
    <m/>
    <m/>
    <e v="#REF!"/>
    <e v="#REF!"/>
    <e v="#REF!"/>
    <e v="#REF!"/>
    <e v="#REF!"/>
    <e v="#REF!"/>
    <e v="#REF!"/>
    <e v="#REF!"/>
    <e v="#REF!"/>
    <e v="#REF!"/>
    <e v="#REF!"/>
    <e v="#REF!"/>
    <e v="#REF!"/>
    <n v="1"/>
    <e v="#REF!"/>
    <e v="#REF!"/>
    <e v="#REF!"/>
    <s v="MMR001CMP244"/>
    <s v="Update date: 27/April/2017. Data source: Programme Unit_UNHCR"/>
  </r>
  <r>
    <x v="35"/>
    <x v="1"/>
    <s v="KBC"/>
    <s v="Kachin"/>
    <x v="6"/>
    <s v="Maing Khaung"/>
    <m/>
    <m/>
    <n v="4"/>
    <n v="4"/>
    <n v="7"/>
    <n v="4"/>
    <n v="7"/>
    <n v="4"/>
    <m/>
    <n v="4"/>
    <n v="14"/>
    <m/>
    <m/>
    <m/>
    <m/>
    <n v="4"/>
    <m/>
    <m/>
    <m/>
    <e v="#REF!"/>
    <e v="#REF!"/>
    <e v="#REF!"/>
    <e v="#REF!"/>
    <e v="#REF!"/>
    <e v="#REF!"/>
    <e v="#REF!"/>
    <e v="#REF!"/>
    <e v="#REF!"/>
    <e v="#REF!"/>
    <e v="#REF!"/>
    <e v="#REF!"/>
    <e v="#REF!"/>
    <n v="0"/>
    <e v="#REF!"/>
    <e v="#REF!"/>
    <e v="#REF!"/>
    <s v="MMR001CMP218"/>
    <s v="Update date: 27/April/2017. Data source: Programme Unit_UNHCR"/>
  </r>
  <r>
    <x v="35"/>
    <x v="0"/>
    <s v="Solidarites"/>
    <s v="Kachin"/>
    <x v="6"/>
    <s v="Maing Khaung"/>
    <m/>
    <n v="2"/>
    <m/>
    <n v="18"/>
    <m/>
    <m/>
    <m/>
    <m/>
    <m/>
    <n v="2"/>
    <m/>
    <m/>
    <m/>
    <m/>
    <m/>
    <n v="2"/>
    <m/>
    <m/>
    <m/>
    <e v="#REF!"/>
    <e v="#REF!"/>
    <e v="#REF!"/>
    <e v="#REF!"/>
    <e v="#REF!"/>
    <e v="#REF!"/>
    <e v="#REF!"/>
    <e v="#REF!"/>
    <e v="#REF!"/>
    <e v="#REF!"/>
    <e v="#REF!"/>
    <e v="#REF!"/>
    <e v="#REF!"/>
    <n v="0"/>
    <e v="#REF!"/>
    <e v="#REF!"/>
    <e v="#REF!"/>
    <s v="MMR001CMP218"/>
    <s v="Update date: 15/May/2017. Data source: SI and confirmed by CCCM unit."/>
  </r>
  <r>
    <x v="35"/>
    <x v="1"/>
    <s v="KMSS_Bhamo"/>
    <s v="Kachin"/>
    <x v="6"/>
    <s v="Maing Khaung Catholic Church"/>
    <m/>
    <m/>
    <n v="1"/>
    <n v="1"/>
    <n v="2"/>
    <n v="1"/>
    <n v="2"/>
    <n v="1"/>
    <m/>
    <n v="1"/>
    <n v="3"/>
    <m/>
    <m/>
    <m/>
    <m/>
    <n v="1"/>
    <m/>
    <m/>
    <m/>
    <e v="#REF!"/>
    <e v="#REF!"/>
    <e v="#REF!"/>
    <e v="#REF!"/>
    <e v="#REF!"/>
    <e v="#REF!"/>
    <e v="#REF!"/>
    <e v="#REF!"/>
    <e v="#REF!"/>
    <e v="#REF!"/>
    <e v="#REF!"/>
    <e v="#REF!"/>
    <e v="#REF!"/>
    <n v="0"/>
    <e v="#REF!"/>
    <e v="#REF!"/>
    <e v="#REF!"/>
    <s v="MMR001CMP223"/>
    <s v="Update date: 27/April/2017. Data source: Programme Unit_UNHCR"/>
  </r>
  <r>
    <x v="36"/>
    <x v="1"/>
    <s v="KBC"/>
    <s v="Kachin"/>
    <x v="7"/>
    <s v="Le Kone Bethlehem Church"/>
    <m/>
    <m/>
    <n v="3"/>
    <n v="3"/>
    <n v="5"/>
    <n v="3"/>
    <n v="8"/>
    <n v="3"/>
    <m/>
    <n v="3"/>
    <n v="8"/>
    <m/>
    <m/>
    <m/>
    <m/>
    <n v="3"/>
    <m/>
    <m/>
    <m/>
    <e v="#REF!"/>
    <e v="#REF!"/>
    <e v="#REF!"/>
    <e v="#REF!"/>
    <e v="#REF!"/>
    <e v="#REF!"/>
    <e v="#REF!"/>
    <e v="#REF!"/>
    <e v="#REF!"/>
    <e v="#REF!"/>
    <e v="#REF!"/>
    <e v="#REF!"/>
    <e v="#REF!"/>
    <n v="0"/>
    <e v="#REF!"/>
    <e v="#REF!"/>
    <e v="#REF!"/>
    <s v="MMR001CMP015"/>
    <s v="Update date: 27/April/2017. Data source: Programme Unit_UNHCR"/>
  </r>
  <r>
    <x v="36"/>
    <x v="1"/>
    <s v="KBC"/>
    <s v="Kachin"/>
    <x v="7"/>
    <s v="Jan Mai Kawng Baptist Church"/>
    <m/>
    <m/>
    <n v="1"/>
    <n v="1"/>
    <n v="2"/>
    <n v="1"/>
    <n v="3"/>
    <n v="1"/>
    <m/>
    <n v="1"/>
    <n v="3"/>
    <m/>
    <m/>
    <m/>
    <m/>
    <n v="1"/>
    <m/>
    <m/>
    <m/>
    <e v="#REF!"/>
    <e v="#REF!"/>
    <e v="#REF!"/>
    <e v="#REF!"/>
    <e v="#REF!"/>
    <e v="#REF!"/>
    <e v="#REF!"/>
    <e v="#REF!"/>
    <e v="#REF!"/>
    <e v="#REF!"/>
    <e v="#REF!"/>
    <e v="#REF!"/>
    <e v="#REF!"/>
    <n v="0"/>
    <e v="#REF!"/>
    <e v="#REF!"/>
    <e v="#REF!"/>
    <s v="MMR001CMP018"/>
    <s v="Update date: 27/April/2017. Data source: Programme Unit_UNHCR"/>
  </r>
  <r>
    <x v="36"/>
    <x v="1"/>
    <s v="KBC"/>
    <s v="Kachin"/>
    <x v="7"/>
    <s v="Kyun Pin Thar Baptist Church"/>
    <m/>
    <m/>
    <n v="3"/>
    <n v="3"/>
    <n v="9"/>
    <n v="3"/>
    <n v="17"/>
    <n v="3"/>
    <m/>
    <n v="3"/>
    <n v="17"/>
    <m/>
    <m/>
    <m/>
    <m/>
    <n v="3"/>
    <m/>
    <m/>
    <m/>
    <e v="#REF!"/>
    <e v="#REF!"/>
    <e v="#REF!"/>
    <e v="#REF!"/>
    <e v="#REF!"/>
    <e v="#REF!"/>
    <e v="#REF!"/>
    <e v="#REF!"/>
    <e v="#REF!"/>
    <e v="#REF!"/>
    <e v="#REF!"/>
    <e v="#REF!"/>
    <e v="#REF!"/>
    <n v="0"/>
    <e v="#REF!"/>
    <e v="#REF!"/>
    <e v="#REF!"/>
    <s v="MMR001CMP013"/>
    <s v="Update date: 27/April/2017. Data source: Programme Unit_UNHCR"/>
  </r>
  <r>
    <x v="36"/>
    <x v="1"/>
    <s v="KBC"/>
    <s v="Kachin"/>
    <x v="7"/>
    <s v="Man Hkring Baptist Church"/>
    <m/>
    <m/>
    <n v="1"/>
    <n v="1"/>
    <n v="2"/>
    <n v="1"/>
    <n v="3"/>
    <n v="1"/>
    <m/>
    <n v="1"/>
    <n v="3"/>
    <m/>
    <m/>
    <m/>
    <m/>
    <n v="1"/>
    <m/>
    <m/>
    <m/>
    <e v="#REF!"/>
    <e v="#REF!"/>
    <e v="#REF!"/>
    <e v="#REF!"/>
    <e v="#REF!"/>
    <e v="#REF!"/>
    <e v="#REF!"/>
    <e v="#REF!"/>
    <e v="#REF!"/>
    <e v="#REF!"/>
    <e v="#REF!"/>
    <e v="#REF!"/>
    <e v="#REF!"/>
    <n v="0"/>
    <e v="#REF!"/>
    <e v="#REF!"/>
    <e v="#REF!"/>
    <s v="MMR001CMP008"/>
    <s v="Update date: 27/April/2017. Data source: Programme Unit_UNHCR"/>
  </r>
  <r>
    <x v="36"/>
    <x v="1"/>
    <s v="KBC"/>
    <s v="Kachin"/>
    <x v="7"/>
    <s v="Maliyang Baptist Church"/>
    <m/>
    <m/>
    <n v="1"/>
    <n v="1"/>
    <n v="2"/>
    <n v="1"/>
    <n v="3"/>
    <n v="1"/>
    <m/>
    <n v="1"/>
    <n v="3"/>
    <m/>
    <m/>
    <m/>
    <m/>
    <n v="1"/>
    <m/>
    <m/>
    <m/>
    <e v="#REF!"/>
    <e v="#REF!"/>
    <e v="#REF!"/>
    <e v="#REF!"/>
    <e v="#REF!"/>
    <e v="#REF!"/>
    <e v="#REF!"/>
    <e v="#REF!"/>
    <e v="#REF!"/>
    <e v="#REF!"/>
    <e v="#REF!"/>
    <e v="#REF!"/>
    <e v="#REF!"/>
    <n v="0"/>
    <e v="#REF!"/>
    <e v="#REF!"/>
    <e v="#REF!"/>
    <s v="MMR001CMP016"/>
    <s v="Update date: 27/April/2017. Data source: Programme Unit_UNHCR"/>
  </r>
  <r>
    <x v="37"/>
    <x v="1"/>
    <s v="KBC"/>
    <s v="Kachin"/>
    <x v="7"/>
    <s v="Shatapru Thida Aye Baptist Church"/>
    <m/>
    <m/>
    <n v="4"/>
    <n v="4"/>
    <n v="10"/>
    <n v="4"/>
    <n v="14"/>
    <n v="4"/>
    <m/>
    <n v="4"/>
    <n v="14"/>
    <m/>
    <m/>
    <m/>
    <m/>
    <n v="4"/>
    <m/>
    <m/>
    <m/>
    <e v="#REF!"/>
    <e v="#REF!"/>
    <e v="#REF!"/>
    <e v="#REF!"/>
    <e v="#REF!"/>
    <e v="#REF!"/>
    <e v="#REF!"/>
    <e v="#REF!"/>
    <e v="#REF!"/>
    <e v="#REF!"/>
    <e v="#REF!"/>
    <e v="#REF!"/>
    <e v="#REF!"/>
    <n v="0"/>
    <e v="#REF!"/>
    <e v="#REF!"/>
    <e v="#REF!"/>
    <s v="MMR001CMP007"/>
    <s v="Update date: 27/April/2017. Data source: Programme Unit_UNHCR"/>
  </r>
  <r>
    <x v="37"/>
    <x v="1"/>
    <s v="KBC"/>
    <s v="Kachin"/>
    <x v="7"/>
    <s v="Njang Dung Baptist Church "/>
    <m/>
    <m/>
    <n v="4"/>
    <n v="4"/>
    <n v="8"/>
    <n v="4"/>
    <n v="11"/>
    <n v="4"/>
    <m/>
    <n v="4"/>
    <n v="11"/>
    <m/>
    <m/>
    <m/>
    <m/>
    <n v="4"/>
    <m/>
    <m/>
    <m/>
    <e v="#REF!"/>
    <e v="#REF!"/>
    <e v="#REF!"/>
    <e v="#REF!"/>
    <e v="#REF!"/>
    <e v="#REF!"/>
    <e v="#REF!"/>
    <e v="#REF!"/>
    <e v="#REF!"/>
    <e v="#REF!"/>
    <e v="#REF!"/>
    <e v="#REF!"/>
    <e v="#REF!"/>
    <n v="0"/>
    <e v="#REF!"/>
    <e v="#REF!"/>
    <e v="#REF!"/>
    <s v="MMR001CMP002"/>
    <s v="Update date: 27/April/2017. Data source: Programme Unit_UNHCR"/>
  </r>
  <r>
    <x v="37"/>
    <x v="1"/>
    <s v="KBC"/>
    <s v="Kachin"/>
    <x v="7"/>
    <s v="Tat Kone Galile Baptist Church"/>
    <m/>
    <m/>
    <n v="1"/>
    <n v="1"/>
    <n v="2"/>
    <n v="1"/>
    <n v="3"/>
    <n v="1"/>
    <m/>
    <n v="1"/>
    <n v="3"/>
    <m/>
    <m/>
    <m/>
    <m/>
    <n v="1"/>
    <m/>
    <m/>
    <m/>
    <e v="#REF!"/>
    <e v="#REF!"/>
    <e v="#REF!"/>
    <e v="#REF!"/>
    <e v="#REF!"/>
    <e v="#REF!"/>
    <e v="#REF!"/>
    <e v="#REF!"/>
    <e v="#REF!"/>
    <e v="#REF!"/>
    <e v="#REF!"/>
    <e v="#REF!"/>
    <e v="#REF!"/>
    <n v="0"/>
    <e v="#REF!"/>
    <e v="#REF!"/>
    <e v="#REF!"/>
    <s v="MMR001CMP003"/>
    <s v="Update date: 27/April/2017. Data source: Programme Unit_UNHCR"/>
  </r>
  <r>
    <x v="37"/>
    <x v="1"/>
    <s v="KBC"/>
    <s v="Kachin"/>
    <x v="7"/>
    <s v="Tat Kone San Pya Baptist Church"/>
    <m/>
    <m/>
    <n v="1"/>
    <n v="1"/>
    <n v="3"/>
    <n v="1"/>
    <n v="4"/>
    <n v="1"/>
    <m/>
    <n v="1"/>
    <n v="4"/>
    <m/>
    <m/>
    <m/>
    <m/>
    <n v="1"/>
    <m/>
    <m/>
    <m/>
    <e v="#REF!"/>
    <e v="#REF!"/>
    <e v="#REF!"/>
    <e v="#REF!"/>
    <e v="#REF!"/>
    <e v="#REF!"/>
    <e v="#REF!"/>
    <e v="#REF!"/>
    <e v="#REF!"/>
    <e v="#REF!"/>
    <e v="#REF!"/>
    <e v="#REF!"/>
    <e v="#REF!"/>
    <n v="0"/>
    <e v="#REF!"/>
    <e v="#REF!"/>
    <e v="#REF!"/>
    <s v="MMR001CMP005"/>
    <s v="Update date: 27/April/2017. Data source: Programme Unit_UNHCR"/>
  </r>
  <r>
    <x v="37"/>
    <x v="1"/>
    <s v="Shalom"/>
    <s v="Kachin"/>
    <x v="2"/>
    <s v="Mu-yin Baptist Church"/>
    <m/>
    <m/>
    <m/>
    <m/>
    <m/>
    <n v="8"/>
    <m/>
    <m/>
    <m/>
    <m/>
    <m/>
    <m/>
    <m/>
    <m/>
    <m/>
    <m/>
    <m/>
    <m/>
    <m/>
    <e v="#REF!"/>
    <e v="#REF!"/>
    <e v="#REF!"/>
    <e v="#REF!"/>
    <e v="#REF!"/>
    <e v="#REF!"/>
    <e v="#REF!"/>
    <e v="#REF!"/>
    <e v="#REF!"/>
    <e v="#REF!"/>
    <e v="#REF!"/>
    <e v="#REF!"/>
    <e v="#REF!"/>
    <n v="0"/>
    <e v="#REF!"/>
    <e v="#REF!"/>
    <e v="#REF!"/>
    <s v="MMR001CMP051"/>
    <s v="Update date: 27/April/2017. Data source: Programme Unit_UNHCR"/>
  </r>
  <r>
    <x v="38"/>
    <x v="1"/>
    <s v="KBC"/>
    <s v="Kachin"/>
    <x v="11"/>
    <s v="Maina KBC (Bawng Ring)"/>
    <m/>
    <m/>
    <n v="17"/>
    <n v="17"/>
    <n v="114"/>
    <n v="17"/>
    <n v="174"/>
    <n v="17"/>
    <m/>
    <n v="17"/>
    <n v="188"/>
    <m/>
    <m/>
    <m/>
    <m/>
    <n v="17"/>
    <m/>
    <m/>
    <n v="49"/>
    <e v="#REF!"/>
    <e v="#REF!"/>
    <e v="#REF!"/>
    <e v="#REF!"/>
    <e v="#REF!"/>
    <e v="#REF!"/>
    <e v="#REF!"/>
    <e v="#REF!"/>
    <e v="#REF!"/>
    <e v="#REF!"/>
    <e v="#REF!"/>
    <e v="#REF!"/>
    <e v="#REF!"/>
    <n v="0"/>
    <e v="#REF!"/>
    <e v="#REF!"/>
    <e v="#REF!"/>
    <s v="MMR001CMP040"/>
    <s v="Update date: 27/April/2017. Data source: Programme Unit_UNHCR"/>
  </r>
  <r>
    <x v="39"/>
    <x v="1"/>
    <s v="KMSS_Bhamo"/>
    <s v="Kachin"/>
    <x v="6"/>
    <s v="Maing Khaung Catholic Church"/>
    <m/>
    <m/>
    <n v="25"/>
    <n v="25"/>
    <n v="25"/>
    <n v="25"/>
    <n v="45"/>
    <n v="25"/>
    <m/>
    <n v="25"/>
    <n v="83"/>
    <m/>
    <m/>
    <m/>
    <m/>
    <n v="25"/>
    <m/>
    <m/>
    <m/>
    <e v="#REF!"/>
    <e v="#REF!"/>
    <e v="#REF!"/>
    <e v="#REF!"/>
    <e v="#REF!"/>
    <e v="#REF!"/>
    <e v="#REF!"/>
    <e v="#REF!"/>
    <e v="#REF!"/>
    <e v="#REF!"/>
    <e v="#REF!"/>
    <e v="#REF!"/>
    <e v="#REF!"/>
    <n v="0"/>
    <e v="#REF!"/>
    <e v="#REF!"/>
    <e v="#REF!"/>
    <s v="MMR001CMP223"/>
    <s v="Update date: 27/April/2017. Data source: Programme Unit_UNHCR"/>
  </r>
  <r>
    <x v="40"/>
    <x v="1"/>
    <s v="KBC"/>
    <s v="Kachin"/>
    <x v="4"/>
    <s v="Shwe Gu Baptist Church"/>
    <m/>
    <m/>
    <m/>
    <n v="50"/>
    <m/>
    <m/>
    <m/>
    <m/>
    <m/>
    <m/>
    <m/>
    <m/>
    <m/>
    <m/>
    <m/>
    <m/>
    <m/>
    <m/>
    <m/>
    <e v="#REF!"/>
    <e v="#REF!"/>
    <e v="#REF!"/>
    <e v="#REF!"/>
    <e v="#REF!"/>
    <e v="#REF!"/>
    <e v="#REF!"/>
    <e v="#REF!"/>
    <e v="#REF!"/>
    <e v="#REF!"/>
    <e v="#REF!"/>
    <e v="#REF!"/>
    <e v="#REF!"/>
    <n v="0"/>
    <e v="#REF!"/>
    <e v="#REF!"/>
    <e v="#REF!"/>
    <s v="MMR001CMP067"/>
    <s v="Update date: 27/April/2017. Data source: Programme Unit_UNHCR"/>
  </r>
  <r>
    <x v="41"/>
    <x v="1"/>
    <s v="KMSS_Myitkyina"/>
    <s v="Kachin"/>
    <x v="7"/>
    <s v="Pa Dauk Myaing(Pa La Na)"/>
    <m/>
    <m/>
    <n v="1"/>
    <n v="1"/>
    <n v="3"/>
    <n v="1"/>
    <n v="3"/>
    <n v="1"/>
    <m/>
    <n v="1"/>
    <n v="3"/>
    <m/>
    <m/>
    <m/>
    <m/>
    <n v="1"/>
    <m/>
    <m/>
    <m/>
    <e v="#REF!"/>
    <e v="#REF!"/>
    <e v="#REF!"/>
    <e v="#REF!"/>
    <e v="#REF!"/>
    <e v="#REF!"/>
    <e v="#REF!"/>
    <e v="#REF!"/>
    <e v="#REF!"/>
    <e v="#REF!"/>
    <e v="#REF!"/>
    <e v="#REF!"/>
    <e v="#REF!"/>
    <n v="0"/>
    <e v="#REF!"/>
    <e v="#REF!"/>
    <e v="#REF!"/>
    <s v="MMR001CMP162"/>
    <s v="Update date: 24/April/2017. Data source: KMSS_Myitkyina/under Feb_2017_CAR"/>
  </r>
  <r>
    <x v="41"/>
    <x v="1"/>
    <s v="KMSS_Myitkyina"/>
    <s v="Kachin"/>
    <x v="11"/>
    <s v="Maina Catholic Church (St. Joseph)"/>
    <m/>
    <m/>
    <n v="22"/>
    <n v="22"/>
    <n v="76"/>
    <n v="22"/>
    <n v="76"/>
    <n v="22"/>
    <m/>
    <n v="22"/>
    <n v="76"/>
    <m/>
    <m/>
    <m/>
    <m/>
    <n v="22"/>
    <m/>
    <m/>
    <m/>
    <e v="#REF!"/>
    <e v="#REF!"/>
    <e v="#REF!"/>
    <e v="#REF!"/>
    <e v="#REF!"/>
    <e v="#REF!"/>
    <e v="#REF!"/>
    <e v="#REF!"/>
    <e v="#REF!"/>
    <e v="#REF!"/>
    <e v="#REF!"/>
    <e v="#REF!"/>
    <e v="#REF!"/>
    <n v="0"/>
    <e v="#REF!"/>
    <e v="#REF!"/>
    <e v="#REF!"/>
    <s v="MMR001CMP029"/>
    <s v="Update date: 27/April/2017. Data source: Programme Unit_UNHCR"/>
  </r>
  <r>
    <x v="42"/>
    <x v="1"/>
    <s v="KMSS_Myitkyina"/>
    <s v="Kachin"/>
    <x v="11"/>
    <s v="Maina Catholic Church (St. Joseph)"/>
    <m/>
    <m/>
    <m/>
    <m/>
    <m/>
    <m/>
    <m/>
    <m/>
    <m/>
    <m/>
    <m/>
    <m/>
    <m/>
    <m/>
    <m/>
    <m/>
    <m/>
    <m/>
    <n v="10"/>
    <e v="#REF!"/>
    <e v="#REF!"/>
    <e v="#REF!"/>
    <e v="#REF!"/>
    <e v="#REF!"/>
    <e v="#REF!"/>
    <e v="#REF!"/>
    <e v="#REF!"/>
    <e v="#REF!"/>
    <e v="#REF!"/>
    <e v="#REF!"/>
    <e v="#REF!"/>
    <e v="#REF!"/>
    <n v="0"/>
    <e v="#REF!"/>
    <e v="#REF!"/>
    <e v="#REF!"/>
    <s v="MMR001CMP029"/>
    <s v="Update date: 27/April/2017. Data source: Programme Unit_UNHCR"/>
  </r>
  <r>
    <x v="43"/>
    <x v="1"/>
    <s v="KBC"/>
    <s v="Kachin"/>
    <x v="11"/>
    <s v="Maina KBC (Bawng Ring)"/>
    <m/>
    <m/>
    <n v="6"/>
    <n v="6"/>
    <n v="18"/>
    <n v="6"/>
    <n v="24"/>
    <n v="6"/>
    <m/>
    <n v="6"/>
    <n v="24"/>
    <m/>
    <m/>
    <m/>
    <m/>
    <n v="6"/>
    <m/>
    <m/>
    <n v="6"/>
    <e v="#REF!"/>
    <e v="#REF!"/>
    <e v="#REF!"/>
    <e v="#REF!"/>
    <e v="#REF!"/>
    <e v="#REF!"/>
    <e v="#REF!"/>
    <e v="#REF!"/>
    <e v="#REF!"/>
    <e v="#REF!"/>
    <e v="#REF!"/>
    <e v="#REF!"/>
    <e v="#REF!"/>
    <n v="0"/>
    <e v="#REF!"/>
    <e v="#REF!"/>
    <e v="#REF!"/>
    <s v="MMR001CMP040"/>
    <s v="Update date: 27/April/2017. Data source: Programme Unit_UNHCR"/>
  </r>
  <r>
    <x v="44"/>
    <x v="0"/>
    <s v="Solidarites"/>
    <s v="Kachin"/>
    <x v="11"/>
    <s v="Je Yang Hka "/>
    <m/>
    <n v="38"/>
    <n v="38"/>
    <n v="342"/>
    <n v="76"/>
    <m/>
    <n v="76"/>
    <m/>
    <m/>
    <n v="38"/>
    <n v="76"/>
    <m/>
    <m/>
    <m/>
    <m/>
    <n v="38"/>
    <m/>
    <m/>
    <m/>
    <e v="#REF!"/>
    <e v="#REF!"/>
    <e v="#REF!"/>
    <e v="#REF!"/>
    <e v="#REF!"/>
    <e v="#REF!"/>
    <e v="#REF!"/>
    <e v="#REF!"/>
    <e v="#REF!"/>
    <e v="#REF!"/>
    <e v="#REF!"/>
    <e v="#REF!"/>
    <e v="#REF!"/>
    <n v="0"/>
    <e v="#REF!"/>
    <e v="#REF!"/>
    <e v="#REF!"/>
    <s v="MMR001CMP121"/>
    <s v="Update date: 15/May/2017. Data source: SI "/>
  </r>
  <r>
    <x v="44"/>
    <x v="1"/>
    <s v="KMSS_Bhamo"/>
    <s v="Kachin"/>
    <x v="6"/>
    <s v="Man Kawng Catholic Church"/>
    <m/>
    <m/>
    <n v="24"/>
    <n v="25"/>
    <n v="45"/>
    <n v="25"/>
    <n v="45"/>
    <n v="25"/>
    <m/>
    <n v="25"/>
    <n v="83"/>
    <m/>
    <m/>
    <m/>
    <m/>
    <n v="25"/>
    <m/>
    <m/>
    <m/>
    <e v="#REF!"/>
    <e v="#REF!"/>
    <e v="#REF!"/>
    <e v="#REF!"/>
    <e v="#REF!"/>
    <e v="#REF!"/>
    <e v="#REF!"/>
    <e v="#REF!"/>
    <e v="#REF!"/>
    <e v="#REF!"/>
    <e v="#REF!"/>
    <e v="#REF!"/>
    <e v="#REF!"/>
    <n v="0"/>
    <e v="#REF!"/>
    <e v="#REF!"/>
    <e v="#REF!"/>
    <s v="MMR001CMP213"/>
    <s v="Data source: KMSS_Bhamo. Data was received when the camps status was changed as &quot;Closed&quot;"/>
  </r>
  <r>
    <x v="44"/>
    <x v="1"/>
    <s v="KMSS_Bhamo"/>
    <s v="Kachin"/>
    <x v="6"/>
    <s v="Man Kawng Catholic Church"/>
    <m/>
    <m/>
    <n v="24"/>
    <n v="25"/>
    <n v="45"/>
    <n v="25"/>
    <n v="45"/>
    <n v="25"/>
    <m/>
    <n v="25"/>
    <n v="83"/>
    <m/>
    <m/>
    <m/>
    <m/>
    <m/>
    <m/>
    <m/>
    <m/>
    <e v="#REF!"/>
    <e v="#REF!"/>
    <e v="#REF!"/>
    <e v="#REF!"/>
    <e v="#REF!"/>
    <e v="#REF!"/>
    <e v="#REF!"/>
    <e v="#REF!"/>
    <e v="#REF!"/>
    <e v="#REF!"/>
    <e v="#REF!"/>
    <e v="#REF!"/>
    <e v="#REF!"/>
    <n v="0"/>
    <e v="#REF!"/>
    <e v="#REF!"/>
    <e v="#REF!"/>
    <s v="MMR001CMP213"/>
    <s v="Data source: KMSS_Bhamo. Data was received when the camps status was changed as &quot;Closed&quot;"/>
  </r>
  <r>
    <x v="45"/>
    <x v="1"/>
    <s v="Shalom"/>
    <s v="Kachin"/>
    <x v="11"/>
    <s v="Maina AG Church"/>
    <m/>
    <m/>
    <n v="5"/>
    <n v="5"/>
    <n v="21"/>
    <n v="5"/>
    <n v="21"/>
    <n v="5"/>
    <m/>
    <n v="5"/>
    <n v="21"/>
    <m/>
    <m/>
    <m/>
    <m/>
    <n v="5"/>
    <m/>
    <m/>
    <m/>
    <e v="#REF!"/>
    <e v="#REF!"/>
    <e v="#REF!"/>
    <e v="#REF!"/>
    <e v="#REF!"/>
    <e v="#REF!"/>
    <e v="#REF!"/>
    <e v="#REF!"/>
    <e v="#REF!"/>
    <e v="#REF!"/>
    <e v="#REF!"/>
    <e v="#REF!"/>
    <e v="#REF!"/>
    <n v="0"/>
    <e v="#REF!"/>
    <e v="#REF!"/>
    <e v="#REF!"/>
    <s v="MMR001CMP031"/>
    <s v="Update date: 27/April/2017. Data source: Programme Unit_UNHCR"/>
  </r>
  <r>
    <x v="45"/>
    <x v="1"/>
    <s v="Shalom"/>
    <s v="Kachin"/>
    <x v="11"/>
    <s v="Qtr. 4 Monestry (Thargaya Thayett Taw)"/>
    <m/>
    <m/>
    <n v="6"/>
    <n v="6"/>
    <n v="13"/>
    <n v="6"/>
    <n v="13"/>
    <n v="6"/>
    <m/>
    <n v="6"/>
    <n v="13"/>
    <m/>
    <m/>
    <m/>
    <m/>
    <n v="6"/>
    <m/>
    <m/>
    <m/>
    <e v="#REF!"/>
    <e v="#REF!"/>
    <e v="#REF!"/>
    <e v="#REF!"/>
    <e v="#REF!"/>
    <e v="#REF!"/>
    <e v="#REF!"/>
    <e v="#REF!"/>
    <e v="#REF!"/>
    <e v="#REF!"/>
    <e v="#REF!"/>
    <e v="#REF!"/>
    <e v="#REF!"/>
    <n v="0"/>
    <e v="#REF!"/>
    <e v="#REF!"/>
    <e v="#REF!"/>
    <s v="MMR001CMP026"/>
    <s v="Update date: 27/April/2017. Data source: Programme Unit_UNHCR"/>
  </r>
  <r>
    <x v="45"/>
    <x v="1"/>
    <s v="Shalom"/>
    <s v="Kachin"/>
    <x v="11"/>
    <s v="Qtr. 2 Lhaovo Baptist Church"/>
    <m/>
    <m/>
    <n v="9"/>
    <n v="9"/>
    <n v="19"/>
    <n v="9"/>
    <n v="19"/>
    <n v="9"/>
    <m/>
    <n v="9"/>
    <n v="19"/>
    <m/>
    <m/>
    <m/>
    <m/>
    <n v="9"/>
    <m/>
    <m/>
    <n v="10"/>
    <e v="#REF!"/>
    <e v="#REF!"/>
    <e v="#REF!"/>
    <e v="#REF!"/>
    <e v="#REF!"/>
    <e v="#REF!"/>
    <e v="#REF!"/>
    <e v="#REF!"/>
    <e v="#REF!"/>
    <e v="#REF!"/>
    <e v="#REF!"/>
    <e v="#REF!"/>
    <e v="#REF!"/>
    <n v="0"/>
    <e v="#REF!"/>
    <e v="#REF!"/>
    <e v="#REF!"/>
    <s v="MMR001CMP032"/>
    <s v="Update date: 27/April/2017. Data source: Programme Unit_UNHCR"/>
  </r>
  <r>
    <x v="45"/>
    <x v="1"/>
    <s v="Shalom"/>
    <s v="Kachin"/>
    <x v="11"/>
    <s v="Waingmaw AG Church"/>
    <m/>
    <m/>
    <n v="6"/>
    <n v="6"/>
    <n v="17"/>
    <n v="6"/>
    <n v="17"/>
    <n v="6"/>
    <m/>
    <n v="6"/>
    <n v="17"/>
    <m/>
    <m/>
    <m/>
    <m/>
    <n v="6"/>
    <m/>
    <m/>
    <m/>
    <e v="#REF!"/>
    <e v="#REF!"/>
    <e v="#REF!"/>
    <e v="#REF!"/>
    <e v="#REF!"/>
    <e v="#REF!"/>
    <e v="#REF!"/>
    <e v="#REF!"/>
    <e v="#REF!"/>
    <e v="#REF!"/>
    <e v="#REF!"/>
    <e v="#REF!"/>
    <e v="#REF!"/>
    <n v="0"/>
    <e v="#REF!"/>
    <e v="#REF!"/>
    <e v="#REF!"/>
    <s v="MMR001CMP038"/>
    <s v="Update date: 27/April/2017. Data source: Programme Unit_UNHCR"/>
  </r>
  <r>
    <x v="45"/>
    <x v="1"/>
    <s v="Shalom"/>
    <s v="Kachin"/>
    <x v="11"/>
    <s v="Thargaya Lisu Baptist Church"/>
    <m/>
    <m/>
    <n v="1"/>
    <n v="1"/>
    <n v="4"/>
    <n v="1"/>
    <n v="4"/>
    <n v="1"/>
    <m/>
    <n v="1"/>
    <n v="4"/>
    <m/>
    <m/>
    <m/>
    <m/>
    <n v="1"/>
    <m/>
    <m/>
    <m/>
    <e v="#REF!"/>
    <e v="#REF!"/>
    <e v="#REF!"/>
    <e v="#REF!"/>
    <e v="#REF!"/>
    <e v="#REF!"/>
    <e v="#REF!"/>
    <e v="#REF!"/>
    <e v="#REF!"/>
    <e v="#REF!"/>
    <e v="#REF!"/>
    <e v="#REF!"/>
    <e v="#REF!"/>
    <n v="0"/>
    <e v="#REF!"/>
    <e v="#REF!"/>
    <e v="#REF!"/>
    <s v="MMR001CMP037"/>
    <s v="Update date: 27/April/2017. Data source: Programme Unit_UNHCR"/>
  </r>
  <r>
    <x v="45"/>
    <x v="1"/>
    <s v="KBC"/>
    <s v="Kachin"/>
    <x v="6"/>
    <s v="Man Kawng Baptist Church"/>
    <m/>
    <m/>
    <n v="11"/>
    <n v="11"/>
    <n v="32"/>
    <n v="11"/>
    <n v="32"/>
    <n v="11"/>
    <m/>
    <n v="11"/>
    <n v="52"/>
    <m/>
    <m/>
    <m/>
    <m/>
    <n v="11"/>
    <m/>
    <m/>
    <n v="11"/>
    <e v="#REF!"/>
    <e v="#REF!"/>
    <e v="#REF!"/>
    <e v="#REF!"/>
    <e v="#REF!"/>
    <e v="#REF!"/>
    <e v="#REF!"/>
    <e v="#REF!"/>
    <e v="#REF!"/>
    <e v="#REF!"/>
    <e v="#REF!"/>
    <e v="#REF!"/>
    <e v="#REF!"/>
    <n v="0"/>
    <e v="#REF!"/>
    <e v="#REF!"/>
    <e v="#REF!"/>
    <s v="MMR001CMP212"/>
    <s v="Update date: 27/April/2017. Data source: Programme Unit_UNHCR"/>
  </r>
  <r>
    <x v="46"/>
    <x v="1"/>
    <s v="KMSS_Myitkyina"/>
    <s v="Kachin"/>
    <x v="11"/>
    <s v="Maina Catholic Church (St. Joseph)"/>
    <m/>
    <m/>
    <n v="9"/>
    <n v="9"/>
    <n v="35"/>
    <n v="9"/>
    <n v="35"/>
    <n v="9"/>
    <m/>
    <n v="9"/>
    <n v="35"/>
    <m/>
    <m/>
    <m/>
    <m/>
    <n v="9"/>
    <m/>
    <m/>
    <n v="9"/>
    <e v="#REF!"/>
    <e v="#REF!"/>
    <e v="#REF!"/>
    <e v="#REF!"/>
    <e v="#REF!"/>
    <e v="#REF!"/>
    <e v="#REF!"/>
    <e v="#REF!"/>
    <e v="#REF!"/>
    <e v="#REF!"/>
    <e v="#REF!"/>
    <e v="#REF!"/>
    <e v="#REF!"/>
    <n v="0"/>
    <e v="#REF!"/>
    <e v="#REF!"/>
    <e v="#REF!"/>
    <s v="MMR001CMP029"/>
    <s v="Update date: 27/April/2017. Data source: Programme Unit_UNHCR"/>
  </r>
  <r>
    <x v="47"/>
    <x v="0"/>
    <s v="Solidarites"/>
    <s v="Kachin"/>
    <x v="5"/>
    <s v="Hpun Lum Yang "/>
    <m/>
    <n v="73"/>
    <n v="73"/>
    <n v="657"/>
    <n v="146"/>
    <m/>
    <n v="146"/>
    <m/>
    <m/>
    <n v="73"/>
    <n v="146"/>
    <m/>
    <m/>
    <m/>
    <m/>
    <n v="73"/>
    <m/>
    <m/>
    <m/>
    <e v="#REF!"/>
    <e v="#REF!"/>
    <e v="#REF!"/>
    <e v="#REF!"/>
    <e v="#REF!"/>
    <e v="#REF!"/>
    <e v="#REF!"/>
    <e v="#REF!"/>
    <e v="#REF!"/>
    <e v="#REF!"/>
    <e v="#REF!"/>
    <e v="#REF!"/>
    <e v="#REF!"/>
    <n v="0"/>
    <e v="#REF!"/>
    <e v="#REF!"/>
    <e v="#REF!"/>
    <s v="MMR001CMP122"/>
    <s v="Update date: 15/May/2017. Data source: SI "/>
  </r>
  <r>
    <x v="47"/>
    <x v="0"/>
    <s v="Solidarites"/>
    <s v="Kachin"/>
    <x v="11"/>
    <s v="Woi Chyai "/>
    <m/>
    <n v="10"/>
    <n v="10"/>
    <n v="90"/>
    <n v="20"/>
    <m/>
    <n v="20"/>
    <m/>
    <m/>
    <n v="10"/>
    <n v="20"/>
    <m/>
    <m/>
    <m/>
    <m/>
    <n v="10"/>
    <m/>
    <m/>
    <m/>
    <e v="#REF!"/>
    <e v="#REF!"/>
    <e v="#REF!"/>
    <e v="#REF!"/>
    <e v="#REF!"/>
    <e v="#REF!"/>
    <e v="#REF!"/>
    <e v="#REF!"/>
    <e v="#REF!"/>
    <e v="#REF!"/>
    <e v="#REF!"/>
    <e v="#REF!"/>
    <e v="#REF!"/>
    <n v="0"/>
    <e v="#REF!"/>
    <e v="#REF!"/>
    <e v="#REF!"/>
    <s v="MMR001CMP116"/>
    <s v="Update date: 15/May/2017. Data source: SI "/>
  </r>
  <r>
    <x v="48"/>
    <x v="1"/>
    <s v="KBC"/>
    <s v="Kachin"/>
    <x v="6"/>
    <s v="Man Kawng Baptist Church"/>
    <m/>
    <m/>
    <n v="15"/>
    <n v="15"/>
    <n v="15"/>
    <n v="15"/>
    <n v="15"/>
    <n v="15"/>
    <m/>
    <n v="15"/>
    <n v="30"/>
    <m/>
    <m/>
    <m/>
    <m/>
    <n v="15"/>
    <m/>
    <m/>
    <n v="15"/>
    <e v="#REF!"/>
    <e v="#REF!"/>
    <e v="#REF!"/>
    <e v="#REF!"/>
    <e v="#REF!"/>
    <e v="#REF!"/>
    <e v="#REF!"/>
    <e v="#REF!"/>
    <e v="#REF!"/>
    <e v="#REF!"/>
    <e v="#REF!"/>
    <e v="#REF!"/>
    <e v="#REF!"/>
    <n v="0"/>
    <e v="#REF!"/>
    <e v="#REF!"/>
    <e v="#REF!"/>
    <s v="MMR001CMP212"/>
    <s v="Update date: 27/April/2017. Data source: Programme Unit_UNHCR"/>
  </r>
  <r>
    <x v="48"/>
    <x v="0"/>
    <s v="Solidarites"/>
    <s v="Kachin"/>
    <x v="6"/>
    <s v="Maing Khaung"/>
    <m/>
    <n v="15"/>
    <m/>
    <n v="135"/>
    <m/>
    <m/>
    <m/>
    <m/>
    <m/>
    <n v="15"/>
    <m/>
    <m/>
    <m/>
    <m/>
    <m/>
    <n v="15"/>
    <m/>
    <m/>
    <m/>
    <e v="#REF!"/>
    <e v="#REF!"/>
    <e v="#REF!"/>
    <e v="#REF!"/>
    <e v="#REF!"/>
    <e v="#REF!"/>
    <e v="#REF!"/>
    <e v="#REF!"/>
    <e v="#REF!"/>
    <e v="#REF!"/>
    <e v="#REF!"/>
    <e v="#REF!"/>
    <e v="#REF!"/>
    <n v="0"/>
    <e v="#REF!"/>
    <e v="#REF!"/>
    <e v="#REF!"/>
    <s v="MMR001CMP218"/>
    <s v="Update date: 15/May/2017. Data source: SI "/>
  </r>
  <r>
    <x v="49"/>
    <x v="1"/>
    <s v="KMSS_Myitkyina"/>
    <s v="Kachin"/>
    <x v="7"/>
    <s v="Jan Mai Kawng Catholic Church"/>
    <m/>
    <m/>
    <n v="1"/>
    <n v="1"/>
    <n v="4"/>
    <n v="1"/>
    <n v="4"/>
    <n v="1"/>
    <m/>
    <n v="1"/>
    <n v="4"/>
    <m/>
    <m/>
    <m/>
    <m/>
    <n v="1"/>
    <m/>
    <m/>
    <m/>
    <m/>
    <m/>
    <m/>
    <m/>
    <m/>
    <m/>
    <m/>
    <m/>
    <m/>
    <m/>
    <m/>
    <m/>
    <m/>
    <m/>
    <m/>
    <m/>
    <m/>
    <s v="MMR001CMP019"/>
    <s v="Update date: 27/April/2017. Data source: Programme Unit_UNHCR"/>
  </r>
  <r>
    <x v="49"/>
    <x v="1"/>
    <s v="KMSS_Myitkyina"/>
    <s v="Kachin"/>
    <x v="11"/>
    <s v="Maina Catholic Church (St. Joseph)"/>
    <m/>
    <m/>
    <n v="6"/>
    <n v="6"/>
    <n v="10"/>
    <n v="6"/>
    <n v="18"/>
    <n v="6"/>
    <m/>
    <n v="6"/>
    <n v="17"/>
    <m/>
    <m/>
    <m/>
    <m/>
    <n v="6"/>
    <m/>
    <m/>
    <m/>
    <m/>
    <m/>
    <m/>
    <m/>
    <m/>
    <m/>
    <m/>
    <m/>
    <m/>
    <m/>
    <m/>
    <m/>
    <m/>
    <m/>
    <m/>
    <m/>
    <m/>
    <s v="MMR001CMP029"/>
    <s v="Update date: 27/April/2017. Data source: Programme Unit_UNHCR"/>
  </r>
  <r>
    <x v="50"/>
    <x v="1"/>
    <s v="KBC"/>
    <s v="Kachin"/>
    <x v="11"/>
    <s v="Maina KBC (Bawng Ring)"/>
    <m/>
    <m/>
    <m/>
    <m/>
    <m/>
    <m/>
    <m/>
    <m/>
    <m/>
    <m/>
    <m/>
    <m/>
    <m/>
    <m/>
    <m/>
    <m/>
    <m/>
    <m/>
    <n v="17"/>
    <e v="#REF!"/>
    <e v="#REF!"/>
    <e v="#REF!"/>
    <e v="#REF!"/>
    <e v="#REF!"/>
    <e v="#REF!"/>
    <e v="#REF!"/>
    <e v="#REF!"/>
    <e v="#REF!"/>
    <e v="#REF!"/>
    <e v="#REF!"/>
    <e v="#REF!"/>
    <e v="#REF!"/>
    <n v="0"/>
    <e v="#REF!"/>
    <e v="#REF!"/>
    <e v="#REF!"/>
    <s v="MMR001CMP040"/>
    <s v="Update date: 27/April/2017. Data source: Programme Unit_UNHC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6" cacheId="17"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2">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1155">
      <pivotArea outline="0" collapsedLevelsAreSubtotals="1" fieldPosition="0"/>
    </format>
    <format dxfId="115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CL" cacheId="1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89" firstHeaderRow="1" firstDataRow="1" firstDataCol="2" rowPageCount="1" colPageCount="1"/>
  <pivotFields count="3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4"/>
        <item x="1"/>
        <item x="21"/>
        <item x="16"/>
        <item x="15"/>
        <item x="13"/>
        <item x="17"/>
        <item x="7"/>
        <item x="14"/>
        <item x="10"/>
        <item x="11"/>
        <item x="6"/>
        <item x="12"/>
        <item x="0"/>
        <item x="3"/>
        <item x="18"/>
        <item x="9"/>
        <item x="8"/>
        <item x="19"/>
        <item x="2"/>
        <item x="22"/>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3">
        <item x="14"/>
        <item x="147"/>
        <item x="138"/>
        <item x="48"/>
        <item x="145"/>
        <item x="155"/>
        <item x="34"/>
        <item x="163"/>
        <item x="43"/>
        <item x="45"/>
        <item x="57"/>
        <item x="58"/>
        <item x="73"/>
        <item x="139"/>
        <item x="80"/>
        <item x="81"/>
        <item x="82"/>
        <item x="109"/>
        <item x="122"/>
        <item x="106"/>
        <item x="84"/>
        <item x="41"/>
        <item x="85"/>
        <item x="140"/>
        <item x="119"/>
        <item x="86"/>
        <item x="87"/>
        <item x="226"/>
        <item x="230"/>
        <item x="91"/>
        <item x="27"/>
        <item x="111"/>
        <item x="132"/>
        <item x="160"/>
        <item x="93"/>
        <item x="136"/>
        <item x="97"/>
        <item x="186"/>
        <item x="42"/>
        <item x="118"/>
        <item x="50"/>
        <item x="173"/>
        <item x="95"/>
        <item x="15"/>
        <item x="16"/>
        <item x="117"/>
        <item x="98"/>
        <item x="167"/>
        <item x="171"/>
        <item x="174"/>
        <item x="176"/>
        <item x="10"/>
        <item x="76"/>
        <item x="103"/>
        <item x="104"/>
        <item x="44"/>
        <item x="121"/>
        <item x="131"/>
        <item x="107"/>
        <item x="12"/>
        <item x="11"/>
        <item x="165"/>
        <item x="150"/>
        <item x="137"/>
        <item x="47"/>
        <item x="70"/>
        <item x="68"/>
        <item x="69"/>
        <item x="108"/>
        <item x="110"/>
        <item x="113"/>
        <item x="26"/>
        <item x="115"/>
        <item x="63"/>
        <item x="30"/>
        <item x="28"/>
        <item x="39"/>
        <item x="38"/>
        <item x="183"/>
        <item x="13"/>
        <item x="61"/>
        <item x="7"/>
        <item x="114"/>
        <item x="127"/>
        <item x="62"/>
        <item x="166"/>
        <item x="125"/>
        <item x="124"/>
        <item x="126"/>
        <item x="128"/>
        <item x="129"/>
        <item x="96"/>
        <item x="224"/>
        <item x="65"/>
        <item x="130"/>
        <item x="141"/>
        <item x="142"/>
        <item x="143"/>
        <item x="144"/>
        <item x="146"/>
        <item x="148"/>
        <item x="149"/>
        <item x="17"/>
        <item x="18"/>
        <item x="151"/>
        <item x="156"/>
        <item x="157"/>
        <item x="158"/>
        <item x="88"/>
        <item x="159"/>
        <item x="164"/>
        <item x="179"/>
        <item x="55"/>
        <item x="169"/>
        <item x="101"/>
        <item x="90"/>
        <item x="177"/>
        <item x="178"/>
        <item x="92"/>
        <item x="184"/>
        <item x="180"/>
        <item x="49"/>
        <item x="181"/>
        <item x="60"/>
        <item x="182"/>
        <item x="89"/>
        <item x="35"/>
        <item x="56"/>
        <item x="206"/>
        <item x="54"/>
        <item x="221"/>
        <item x="99"/>
        <item x="94"/>
        <item x="187"/>
        <item x="189"/>
        <item x="191"/>
        <item x="161"/>
        <item x="170"/>
        <item x="225"/>
        <item x="23"/>
        <item x="52"/>
        <item x="100"/>
        <item x="208"/>
        <item x="222"/>
        <item x="77"/>
        <item x="214"/>
        <item x="32"/>
        <item x="133"/>
        <item x="223"/>
        <item x="227"/>
        <item x="123"/>
        <item x="228"/>
        <item x="1"/>
        <item x="71"/>
        <item x="135"/>
        <item x="120"/>
        <item x="175"/>
        <item x="229"/>
        <item x="162"/>
        <item x="64"/>
        <item x="134"/>
        <item x="31"/>
        <item x="24"/>
        <item x="29"/>
        <item x="25"/>
        <item x="152"/>
        <item x="46"/>
        <item x="231"/>
        <item x="153"/>
        <item x="235"/>
        <item x="72"/>
        <item x="5"/>
        <item x="6"/>
        <item x="40"/>
        <item x="66"/>
        <item x="67"/>
        <item x="8"/>
        <item x="243"/>
        <item x="79"/>
        <item x="244"/>
        <item x="172"/>
        <item x="53"/>
        <item x="260"/>
        <item x="59"/>
        <item x="0"/>
        <item x="3"/>
        <item x="2"/>
        <item x="4"/>
        <item x="36"/>
        <item x="267"/>
        <item x="268"/>
        <item x="74"/>
        <item x="37"/>
        <item x="269"/>
        <item x="270"/>
        <item x="154"/>
        <item x="112"/>
        <item x="272"/>
        <item x="273"/>
        <item x="19"/>
        <item x="51"/>
        <item x="102"/>
        <item x="275"/>
        <item x="185"/>
        <item x="188"/>
        <item x="190"/>
        <item x="266"/>
        <item x="83"/>
        <item x="192"/>
        <item x="232"/>
        <item x="233"/>
        <item x="193"/>
        <item x="236"/>
        <item x="194"/>
        <item x="234"/>
        <item x="195"/>
        <item x="237"/>
        <item x="196"/>
        <item x="197"/>
        <item x="198"/>
        <item x="168"/>
        <item x="220"/>
        <item x="105"/>
        <item x="116"/>
        <item x="21"/>
        <item x="274"/>
        <item x="199"/>
        <item x="238"/>
        <item x="200"/>
        <item x="201"/>
        <item x="202"/>
        <item x="203"/>
        <item x="204"/>
        <item x="205"/>
        <item x="239"/>
        <item x="207"/>
        <item x="240"/>
        <item x="245"/>
        <item x="246"/>
        <item x="247"/>
        <item x="241"/>
        <item x="242"/>
        <item x="248"/>
        <item x="249"/>
        <item x="33"/>
        <item x="213"/>
        <item x="265"/>
        <item x="215"/>
        <item x="216"/>
        <item x="250"/>
        <item x="251"/>
        <item x="252"/>
        <item x="253"/>
        <item x="254"/>
        <item x="255"/>
        <item x="256"/>
        <item x="257"/>
        <item x="258"/>
        <item x="259"/>
        <item x="261"/>
        <item x="262"/>
        <item x="263"/>
        <item x="264"/>
        <item x="271"/>
        <item x="276"/>
        <item x="277"/>
        <item x="278"/>
        <item x="279"/>
        <item x="280"/>
        <item x="217"/>
        <item x="218"/>
        <item x="219"/>
        <item x="282"/>
        <item x="210"/>
        <item x="211"/>
        <item x="212"/>
        <item x="209"/>
        <item x="9"/>
        <item x="20"/>
        <item x="75"/>
        <item x="78"/>
        <item x="22"/>
        <item x="28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86">
    <i>
      <x/>
      <x v="3"/>
    </i>
    <i r="1">
      <x v="7"/>
    </i>
    <i r="1">
      <x v="22"/>
    </i>
    <i r="1">
      <x v="35"/>
    </i>
    <i r="1">
      <x v="40"/>
    </i>
    <i r="1">
      <x v="46"/>
    </i>
    <i r="1">
      <x v="64"/>
    </i>
    <i r="1">
      <x v="121"/>
    </i>
    <i r="1">
      <x v="140"/>
    </i>
    <i r="1">
      <x v="158"/>
    </i>
    <i r="1">
      <x v="166"/>
    </i>
    <i r="1">
      <x v="179"/>
    </i>
    <i r="1">
      <x v="181"/>
    </i>
    <i r="1">
      <x v="190"/>
    </i>
    <i r="1">
      <x v="200"/>
    </i>
    <i r="1">
      <x v="206"/>
    </i>
    <i>
      <x v="1"/>
      <x v="21"/>
    </i>
    <i r="1">
      <x v="29"/>
    </i>
    <i r="1">
      <x v="38"/>
    </i>
    <i r="1">
      <x v="55"/>
    </i>
    <i r="1">
      <x v="61"/>
    </i>
    <i r="1">
      <x v="156"/>
    </i>
    <i r="1">
      <x v="197"/>
    </i>
    <i r="1">
      <x v="205"/>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20"/>
    </i>
    <i r="1">
      <x v="136"/>
    </i>
    <i r="1">
      <x v="141"/>
    </i>
    <i r="1">
      <x v="148"/>
    </i>
    <i r="1">
      <x v="149"/>
    </i>
    <i r="1">
      <x v="157"/>
    </i>
    <i r="1">
      <x v="165"/>
    </i>
    <i r="1">
      <x v="167"/>
    </i>
    <i r="1">
      <x v="168"/>
    </i>
    <i r="1">
      <x v="169"/>
    </i>
    <i r="1">
      <x v="182"/>
    </i>
    <i r="1">
      <x v="189"/>
    </i>
    <i r="1">
      <x v="194"/>
    </i>
    <i r="1">
      <x v="195"/>
    </i>
    <i r="1">
      <x v="198"/>
    </i>
    <i r="1">
      <x v="201"/>
    </i>
    <i r="1">
      <x v="202"/>
    </i>
    <i r="1">
      <x v="213"/>
    </i>
    <i r="1">
      <x v="217"/>
    </i>
    <i r="1">
      <x v="235"/>
    </i>
    <i r="1">
      <x v="244"/>
    </i>
    <i r="1">
      <x v="245"/>
    </i>
    <i r="1">
      <x v="246"/>
    </i>
    <i r="1">
      <x v="247"/>
    </i>
    <i r="1">
      <x v="248"/>
    </i>
    <i r="1">
      <x v="271"/>
    </i>
    <i>
      <x v="3"/>
      <x v="143"/>
    </i>
    <i r="1">
      <x v="227"/>
    </i>
    <i r="1">
      <x v="242"/>
    </i>
    <i>
      <x v="4"/>
      <x v="58"/>
    </i>
    <i>
      <x v="5"/>
      <x v="53"/>
    </i>
    <i>
      <x v="6"/>
      <x v="27"/>
    </i>
    <i r="1">
      <x v="28"/>
    </i>
    <i r="1">
      <x v="48"/>
    </i>
    <i r="1">
      <x v="49"/>
    </i>
    <i r="1">
      <x v="50"/>
    </i>
    <i r="1">
      <x v="111"/>
    </i>
    <i r="1">
      <x v="118"/>
    </i>
    <i r="1">
      <x v="119"/>
    </i>
    <i r="1">
      <x v="132"/>
    </i>
    <i r="1">
      <x v="203"/>
    </i>
    <i r="1">
      <x v="216"/>
    </i>
    <i r="1">
      <x v="234"/>
    </i>
    <i r="1">
      <x v="236"/>
    </i>
    <i r="1">
      <x v="239"/>
    </i>
    <i r="1">
      <x v="243"/>
    </i>
    <i r="1">
      <x v="266"/>
    </i>
    <i r="1">
      <x v="267"/>
    </i>
    <i r="1">
      <x v="282"/>
    </i>
    <i>
      <x v="7"/>
      <x v="70"/>
    </i>
    <i>
      <x v="8"/>
      <x v="10"/>
    </i>
    <i r="1">
      <x v="11"/>
    </i>
    <i r="1">
      <x v="12"/>
    </i>
    <i r="1">
      <x v="18"/>
    </i>
    <i r="1">
      <x v="35"/>
    </i>
    <i r="1">
      <x v="42"/>
    </i>
    <i r="1">
      <x v="54"/>
    </i>
    <i r="1">
      <x v="56"/>
    </i>
    <i r="1">
      <x v="68"/>
    </i>
    <i r="1">
      <x v="78"/>
    </i>
    <i r="1">
      <x v="82"/>
    </i>
    <i r="1">
      <x v="83"/>
    </i>
    <i r="1">
      <x v="86"/>
    </i>
    <i r="1">
      <x v="87"/>
    </i>
    <i r="1">
      <x v="88"/>
    </i>
    <i r="1">
      <x v="93"/>
    </i>
    <i r="1">
      <x v="116"/>
    </i>
    <i r="1">
      <x v="117"/>
    </i>
    <i r="1">
      <x v="124"/>
    </i>
    <i r="1">
      <x v="133"/>
    </i>
    <i r="1">
      <x v="134"/>
    </i>
    <i r="1">
      <x v="135"/>
    </i>
    <i r="1">
      <x v="177"/>
    </i>
    <i r="1">
      <x v="204"/>
    </i>
    <i r="1">
      <x v="207"/>
    </i>
    <i r="1">
      <x v="211"/>
    </i>
    <i r="1">
      <x v="215"/>
    </i>
    <i>
      <x v="9"/>
      <x v="91"/>
    </i>
    <i r="1">
      <x v="92"/>
    </i>
    <i r="1">
      <x v="241"/>
    </i>
    <i>
      <x v="10"/>
      <x v="52"/>
    </i>
    <i r="1">
      <x v="144"/>
    </i>
    <i r="1">
      <x v="228"/>
    </i>
    <i r="1">
      <x v="229"/>
    </i>
    <i r="1">
      <x v="230"/>
    </i>
    <i r="1">
      <x v="279"/>
    </i>
    <i r="1">
      <x v="280"/>
    </i>
    <i>
      <x v="11"/>
      <x v="142"/>
    </i>
    <i r="1">
      <x v="147"/>
    </i>
    <i r="1">
      <x v="178"/>
    </i>
    <i r="1">
      <x v="218"/>
    </i>
    <i r="1">
      <x v="219"/>
    </i>
    <i>
      <x v="12"/>
      <x v="24"/>
    </i>
    <i r="1">
      <x v="35"/>
    </i>
    <i r="1">
      <x v="39"/>
    </i>
    <i r="1">
      <x v="45"/>
    </i>
    <i r="1">
      <x v="47"/>
    </i>
    <i r="1">
      <x v="65"/>
    </i>
    <i r="1">
      <x v="66"/>
    </i>
    <i r="1">
      <x v="67"/>
    </i>
    <i r="1">
      <x v="73"/>
    </i>
    <i r="1">
      <x v="80"/>
    </i>
    <i r="1">
      <x v="84"/>
    </i>
    <i r="1">
      <x v="85"/>
    </i>
    <i r="1">
      <x v="90"/>
    </i>
    <i r="1">
      <x v="112"/>
    </i>
    <i r="1">
      <x v="113"/>
    </i>
    <i r="1">
      <x v="123"/>
    </i>
    <i r="1">
      <x v="150"/>
    </i>
    <i r="1">
      <x v="151"/>
    </i>
    <i r="1">
      <x v="153"/>
    </i>
    <i r="1">
      <x v="155"/>
    </i>
    <i r="1">
      <x v="159"/>
    </i>
    <i r="1">
      <x v="170"/>
    </i>
    <i r="1">
      <x v="183"/>
    </i>
    <i r="1">
      <x v="233"/>
    </i>
    <i>
      <x v="13"/>
      <x v="36"/>
    </i>
    <i r="1">
      <x v="37"/>
    </i>
    <i r="1">
      <x v="114"/>
    </i>
    <i r="1">
      <x v="115"/>
    </i>
    <i r="1">
      <x v="130"/>
    </i>
    <i r="1">
      <x v="131"/>
    </i>
    <i r="1">
      <x v="209"/>
    </i>
    <i r="1">
      <x v="212"/>
    </i>
    <i r="1">
      <x v="254"/>
    </i>
    <i r="1">
      <x v="255"/>
    </i>
    <i r="1">
      <x v="256"/>
    </i>
    <i r="1">
      <x v="257"/>
    </i>
    <i r="1">
      <x v="258"/>
    </i>
    <i r="1">
      <x v="259"/>
    </i>
    <i r="1">
      <x v="260"/>
    </i>
    <i r="1">
      <x v="261"/>
    </i>
    <i r="1">
      <x v="262"/>
    </i>
    <i r="1">
      <x v="263"/>
    </i>
    <i r="1">
      <x v="264"/>
    </i>
    <i r="1">
      <x v="268"/>
    </i>
    <i>
      <x v="14"/>
      <x v="43"/>
    </i>
    <i r="1">
      <x v="44"/>
    </i>
    <i r="1">
      <x v="51"/>
    </i>
    <i r="1">
      <x v="59"/>
    </i>
    <i r="1">
      <x v="60"/>
    </i>
    <i r="1">
      <x v="79"/>
    </i>
    <i r="1">
      <x v="81"/>
    </i>
    <i r="1">
      <x v="102"/>
    </i>
    <i r="1">
      <x v="103"/>
    </i>
    <i r="1">
      <x v="122"/>
    </i>
    <i r="1">
      <x v="139"/>
    </i>
    <i r="1">
      <x v="152"/>
    </i>
    <i r="1">
      <x v="154"/>
    </i>
    <i r="1">
      <x v="171"/>
    </i>
    <i r="1">
      <x v="172"/>
    </i>
    <i r="1">
      <x v="176"/>
    </i>
    <i r="1">
      <x v="184"/>
    </i>
    <i r="1">
      <x v="185"/>
    </i>
    <i r="1">
      <x v="186"/>
    </i>
    <i r="1">
      <x v="187"/>
    </i>
    <i r="1">
      <x v="199"/>
    </i>
    <i r="1">
      <x v="224"/>
    </i>
    <i r="1">
      <x v="277"/>
    </i>
    <i r="1">
      <x v="278"/>
    </i>
    <i r="1">
      <x v="281"/>
    </i>
    <i>
      <x v="15"/>
      <x v="125"/>
    </i>
    <i r="1">
      <x v="126"/>
    </i>
    <i r="1">
      <x v="127"/>
    </i>
    <i r="1">
      <x v="128"/>
    </i>
    <i r="1">
      <x v="129"/>
    </i>
    <i r="1">
      <x v="210"/>
    </i>
    <i r="1">
      <x v="214"/>
    </i>
    <i r="1">
      <x v="237"/>
    </i>
    <i r="1">
      <x v="238"/>
    </i>
    <i>
      <x v="16"/>
      <x v="137"/>
    </i>
    <i r="1">
      <x v="138"/>
    </i>
    <i r="1">
      <x v="240"/>
    </i>
    <i r="1">
      <x v="249"/>
    </i>
    <i r="1">
      <x v="250"/>
    </i>
    <i r="1">
      <x v="251"/>
    </i>
    <i r="1">
      <x v="252"/>
    </i>
    <i r="1">
      <x v="253"/>
    </i>
    <i r="1">
      <x v="272"/>
    </i>
    <i>
      <x v="17"/>
      <x v="145"/>
    </i>
    <i r="1">
      <x v="191"/>
    </i>
    <i r="1">
      <x v="208"/>
    </i>
    <i r="1">
      <x v="226"/>
    </i>
    <i>
      <x v="18"/>
      <x v="35"/>
    </i>
    <i r="1">
      <x v="57"/>
    </i>
    <i r="1">
      <x v="174"/>
    </i>
    <i r="1">
      <x v="175"/>
    </i>
    <i>
      <x v="19"/>
      <x v="180"/>
    </i>
    <i r="1">
      <x v="231"/>
    </i>
    <i r="1">
      <x v="232"/>
    </i>
    <i>
      <x v="20"/>
      <x v="16"/>
    </i>
    <i r="1">
      <x v="17"/>
    </i>
    <i r="1">
      <x v="30"/>
    </i>
    <i r="1">
      <x v="31"/>
    </i>
    <i r="1">
      <x v="41"/>
    </i>
    <i r="1">
      <x v="71"/>
    </i>
    <i r="1">
      <x v="72"/>
    </i>
    <i r="1">
      <x v="74"/>
    </i>
    <i r="1">
      <x v="75"/>
    </i>
    <i r="1">
      <x v="76"/>
    </i>
    <i r="1">
      <x v="77"/>
    </i>
    <i r="1">
      <x v="89"/>
    </i>
    <i r="1">
      <x v="146"/>
    </i>
    <i r="1">
      <x v="160"/>
    </i>
    <i r="1">
      <x v="161"/>
    </i>
    <i r="1">
      <x v="162"/>
    </i>
    <i r="1">
      <x v="163"/>
    </i>
    <i r="1">
      <x v="164"/>
    </i>
    <i r="1">
      <x v="173"/>
    </i>
    <i r="1">
      <x v="188"/>
    </i>
    <i r="1">
      <x v="192"/>
    </i>
    <i r="1">
      <x v="193"/>
    </i>
    <i r="1">
      <x v="196"/>
    </i>
    <i r="1">
      <x v="220"/>
    </i>
    <i r="1">
      <x v="221"/>
    </i>
    <i r="1">
      <x v="222"/>
    </i>
    <i r="1">
      <x v="223"/>
    </i>
    <i r="1">
      <x v="225"/>
    </i>
    <i r="1">
      <x v="269"/>
    </i>
    <i r="1">
      <x v="270"/>
    </i>
    <i>
      <x v="21"/>
      <x v="265"/>
    </i>
    <i>
      <x v="22"/>
      <x v="273"/>
    </i>
    <i r="1">
      <x v="274"/>
    </i>
    <i r="1">
      <x v="275"/>
    </i>
    <i r="1">
      <x v="276"/>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288" firstHeaderRow="1" firstDataRow="1" firstDataCol="1"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0"/>
        <item x="1"/>
        <item x="2"/>
        <item x="3"/>
        <item x="4"/>
        <item x="5"/>
        <item x="6"/>
        <item x="7"/>
        <item x="8"/>
        <item x="9"/>
        <item x="10"/>
        <item x="11"/>
        <item x="12"/>
        <item x="13"/>
        <item x="183"/>
        <item x="15"/>
        <item x="16"/>
        <item x="17"/>
        <item x="18"/>
        <item x="19"/>
        <item x="21"/>
        <item x="22"/>
        <item x="23"/>
        <item x="24"/>
        <item x="25"/>
        <item x="26"/>
        <item x="27"/>
        <item x="28"/>
        <item x="29"/>
        <item x="30"/>
        <item x="31"/>
        <item x="222"/>
        <item x="170"/>
        <item x="271"/>
        <item x="35"/>
        <item x="36"/>
        <item x="37"/>
        <item x="38"/>
        <item x="39"/>
        <item x="40"/>
        <item x="41"/>
        <item x="274"/>
        <item x="43"/>
        <item x="90"/>
        <item x="45"/>
        <item x="97"/>
        <item x="46"/>
        <item x="47"/>
        <item x="48"/>
        <item x="49"/>
        <item x="50"/>
        <item x="51"/>
        <item x="52"/>
        <item x="54"/>
        <item x="171"/>
        <item x="128"/>
        <item x="230"/>
        <item x="58"/>
        <item x="59"/>
        <item x="60"/>
        <item x="61"/>
        <item x="62"/>
        <item x="63"/>
        <item x="64"/>
        <item x="65"/>
        <item x="66"/>
        <item x="67"/>
        <item x="68"/>
        <item x="69"/>
        <item x="70"/>
        <item x="71"/>
        <item x="102"/>
        <item x="73"/>
        <item x="74"/>
        <item x="75"/>
        <item x="76"/>
        <item x="78"/>
        <item x="210"/>
        <item x="225"/>
        <item x="229"/>
        <item x="157"/>
        <item x="156"/>
        <item x="83"/>
        <item x="158"/>
        <item x="155"/>
        <item x="87"/>
        <item x="44"/>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2"/>
        <item x="14"/>
        <item x="80"/>
        <item x="33"/>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2"/>
        <item x="56"/>
        <item x="57"/>
        <item x="94"/>
        <item x="185"/>
        <item x="245"/>
        <item x="216"/>
        <item x="112"/>
        <item x="246"/>
        <item x="190"/>
        <item x="268"/>
        <item x="192"/>
        <item x="82"/>
        <item x="194"/>
        <item x="195"/>
        <item x="196"/>
        <item x="34"/>
        <item x="53"/>
        <item x="55"/>
        <item x="88"/>
        <item x="89"/>
        <item x="91"/>
        <item x="93"/>
        <item x="95"/>
        <item x="96"/>
        <item x="98"/>
        <item x="100"/>
        <item x="172"/>
        <item x="173"/>
        <item x="176"/>
        <item x="178"/>
        <item x="181"/>
        <item x="186"/>
        <item x="187"/>
        <item x="188"/>
        <item x="208"/>
        <item x="223"/>
        <item x="224"/>
        <item x="226"/>
        <item x="227"/>
        <item x="228"/>
        <item x="232"/>
        <item x="234"/>
        <item x="235"/>
        <item x="236"/>
        <item x="238"/>
        <item x="197"/>
        <item x="239"/>
        <item x="198"/>
        <item x="199"/>
        <item x="200"/>
        <item x="240"/>
        <item x="201"/>
        <item x="202"/>
        <item x="203"/>
        <item x="204"/>
        <item x="205"/>
        <item x="206"/>
        <item x="207"/>
        <item x="241"/>
        <item x="209"/>
        <item x="179"/>
        <item x="242"/>
        <item x="243"/>
        <item x="244"/>
        <item x="247"/>
        <item x="248"/>
        <item x="249"/>
        <item x="250"/>
        <item x="251"/>
        <item x="32"/>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 x="20"/>
        <item x="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89" firstHeaderRow="0" firstDataRow="1" firstDataCol="3"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4"/>
        <item x="1"/>
        <item x="21"/>
        <item x="16"/>
        <item x="15"/>
        <item x="13"/>
        <item x="17"/>
        <item x="7"/>
        <item x="14"/>
        <item x="10"/>
        <item x="11"/>
        <item x="6"/>
        <item x="12"/>
        <item x="0"/>
        <item x="3"/>
        <item x="18"/>
        <item x="9"/>
        <item x="8"/>
        <item x="19"/>
        <item x="2"/>
        <item x="22"/>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3">
        <item x="14"/>
        <item x="147"/>
        <item x="138"/>
        <item x="48"/>
        <item x="145"/>
        <item x="155"/>
        <item x="34"/>
        <item x="163"/>
        <item x="43"/>
        <item x="45"/>
        <item x="57"/>
        <item x="58"/>
        <item x="73"/>
        <item x="139"/>
        <item x="80"/>
        <item x="81"/>
        <item x="82"/>
        <item x="109"/>
        <item x="122"/>
        <item x="106"/>
        <item x="84"/>
        <item x="41"/>
        <item x="85"/>
        <item x="140"/>
        <item x="119"/>
        <item x="86"/>
        <item x="87"/>
        <item x="226"/>
        <item x="230"/>
        <item x="91"/>
        <item x="27"/>
        <item x="111"/>
        <item x="132"/>
        <item x="160"/>
        <item x="93"/>
        <item x="136"/>
        <item x="97"/>
        <item x="186"/>
        <item x="42"/>
        <item x="118"/>
        <item x="50"/>
        <item x="173"/>
        <item x="95"/>
        <item x="15"/>
        <item x="16"/>
        <item x="117"/>
        <item x="98"/>
        <item x="167"/>
        <item x="171"/>
        <item x="174"/>
        <item x="176"/>
        <item x="10"/>
        <item x="76"/>
        <item x="103"/>
        <item x="104"/>
        <item x="44"/>
        <item x="121"/>
        <item x="131"/>
        <item x="107"/>
        <item x="12"/>
        <item x="11"/>
        <item x="165"/>
        <item x="150"/>
        <item x="137"/>
        <item x="47"/>
        <item x="70"/>
        <item x="68"/>
        <item x="69"/>
        <item x="108"/>
        <item x="110"/>
        <item x="113"/>
        <item x="26"/>
        <item x="115"/>
        <item x="63"/>
        <item x="30"/>
        <item x="28"/>
        <item x="39"/>
        <item x="38"/>
        <item x="183"/>
        <item x="13"/>
        <item x="61"/>
        <item x="7"/>
        <item x="114"/>
        <item x="127"/>
        <item x="62"/>
        <item x="166"/>
        <item x="125"/>
        <item x="124"/>
        <item x="126"/>
        <item x="128"/>
        <item x="129"/>
        <item x="96"/>
        <item x="224"/>
        <item x="65"/>
        <item x="130"/>
        <item x="141"/>
        <item x="142"/>
        <item x="143"/>
        <item x="144"/>
        <item x="146"/>
        <item x="148"/>
        <item x="149"/>
        <item x="17"/>
        <item x="18"/>
        <item x="151"/>
        <item x="156"/>
        <item x="157"/>
        <item x="158"/>
        <item x="88"/>
        <item x="159"/>
        <item x="164"/>
        <item x="179"/>
        <item x="55"/>
        <item x="169"/>
        <item x="101"/>
        <item x="90"/>
        <item x="177"/>
        <item x="178"/>
        <item x="92"/>
        <item x="184"/>
        <item x="180"/>
        <item x="49"/>
        <item x="181"/>
        <item x="60"/>
        <item x="182"/>
        <item x="89"/>
        <item x="35"/>
        <item x="56"/>
        <item x="206"/>
        <item x="54"/>
        <item x="221"/>
        <item x="99"/>
        <item x="94"/>
        <item x="187"/>
        <item x="189"/>
        <item x="191"/>
        <item x="161"/>
        <item x="170"/>
        <item x="225"/>
        <item x="23"/>
        <item x="52"/>
        <item x="100"/>
        <item x="208"/>
        <item x="222"/>
        <item x="77"/>
        <item x="214"/>
        <item x="32"/>
        <item x="133"/>
        <item x="223"/>
        <item x="227"/>
        <item x="123"/>
        <item x="228"/>
        <item x="1"/>
        <item x="71"/>
        <item x="135"/>
        <item x="120"/>
        <item x="175"/>
        <item x="229"/>
        <item x="162"/>
        <item x="64"/>
        <item x="134"/>
        <item x="31"/>
        <item x="24"/>
        <item x="29"/>
        <item x="25"/>
        <item x="152"/>
        <item x="46"/>
        <item x="231"/>
        <item x="153"/>
        <item x="235"/>
        <item x="72"/>
        <item x="5"/>
        <item x="6"/>
        <item x="40"/>
        <item x="66"/>
        <item x="67"/>
        <item x="8"/>
        <item x="243"/>
        <item x="79"/>
        <item x="244"/>
        <item x="172"/>
        <item x="53"/>
        <item x="260"/>
        <item x="59"/>
        <item x="0"/>
        <item x="3"/>
        <item x="2"/>
        <item x="4"/>
        <item x="36"/>
        <item x="267"/>
        <item x="268"/>
        <item x="74"/>
        <item x="37"/>
        <item x="269"/>
        <item x="270"/>
        <item x="154"/>
        <item x="112"/>
        <item x="272"/>
        <item x="273"/>
        <item x="19"/>
        <item x="51"/>
        <item x="102"/>
        <item x="275"/>
        <item x="185"/>
        <item x="188"/>
        <item x="190"/>
        <item x="266"/>
        <item x="83"/>
        <item x="192"/>
        <item x="232"/>
        <item x="233"/>
        <item x="193"/>
        <item x="236"/>
        <item x="194"/>
        <item x="234"/>
        <item x="195"/>
        <item x="237"/>
        <item x="196"/>
        <item x="197"/>
        <item x="198"/>
        <item x="168"/>
        <item x="220"/>
        <item x="105"/>
        <item x="116"/>
        <item x="21"/>
        <item x="274"/>
        <item x="199"/>
        <item x="238"/>
        <item x="200"/>
        <item x="201"/>
        <item x="202"/>
        <item x="203"/>
        <item x="204"/>
        <item x="205"/>
        <item x="239"/>
        <item x="207"/>
        <item x="240"/>
        <item x="245"/>
        <item x="246"/>
        <item x="247"/>
        <item x="241"/>
        <item x="242"/>
        <item x="248"/>
        <item x="249"/>
        <item x="33"/>
        <item x="213"/>
        <item x="265"/>
        <item x="215"/>
        <item x="216"/>
        <item x="250"/>
        <item x="251"/>
        <item x="252"/>
        <item x="253"/>
        <item x="254"/>
        <item x="255"/>
        <item x="256"/>
        <item x="257"/>
        <item x="258"/>
        <item x="259"/>
        <item x="261"/>
        <item x="262"/>
        <item x="263"/>
        <item x="264"/>
        <item x="271"/>
        <item x="276"/>
        <item x="277"/>
        <item x="278"/>
        <item x="279"/>
        <item x="280"/>
        <item x="217"/>
        <item x="218"/>
        <item x="219"/>
        <item x="282"/>
        <item x="210"/>
        <item x="211"/>
        <item x="212"/>
        <item x="209"/>
        <item x="9"/>
        <item x="20"/>
        <item x="75"/>
        <item x="78"/>
        <item x="22"/>
        <item x="281"/>
      </items>
      <extLst>
        <ext xmlns:x14="http://schemas.microsoft.com/office/spreadsheetml/2009/9/main" uri="{2946ED86-A175-432a-8AC1-64E0C546D7DE}">
          <x14:pivotField fillDownLabels="1"/>
        </ext>
      </extLst>
    </pivotField>
    <pivotField axis="axisRow" compact="0" outline="0" showAll="0" defaultSubtotal="0">
      <items count="284">
        <item x="0"/>
        <item x="1"/>
        <item x="2"/>
        <item x="3"/>
        <item x="4"/>
        <item x="5"/>
        <item x="6"/>
        <item x="7"/>
        <item x="8"/>
        <item x="9"/>
        <item x="10"/>
        <item x="11"/>
        <item x="12"/>
        <item x="13"/>
        <item x="183"/>
        <item x="15"/>
        <item x="16"/>
        <item x="17"/>
        <item x="18"/>
        <item x="19"/>
        <item x="21"/>
        <item x="22"/>
        <item x="23"/>
        <item x="24"/>
        <item x="25"/>
        <item x="26"/>
        <item x="27"/>
        <item x="28"/>
        <item x="29"/>
        <item x="30"/>
        <item x="31"/>
        <item x="222"/>
        <item x="170"/>
        <item x="271"/>
        <item x="35"/>
        <item x="36"/>
        <item x="37"/>
        <item x="38"/>
        <item x="39"/>
        <item x="40"/>
        <item x="41"/>
        <item x="274"/>
        <item x="43"/>
        <item x="90"/>
        <item x="45"/>
        <item x="97"/>
        <item x="46"/>
        <item x="47"/>
        <item x="48"/>
        <item x="49"/>
        <item x="50"/>
        <item x="51"/>
        <item x="52"/>
        <item x="54"/>
        <item x="171"/>
        <item x="128"/>
        <item x="230"/>
        <item x="58"/>
        <item x="59"/>
        <item x="60"/>
        <item x="61"/>
        <item x="62"/>
        <item x="63"/>
        <item x="64"/>
        <item x="65"/>
        <item x="66"/>
        <item x="67"/>
        <item x="68"/>
        <item x="69"/>
        <item x="70"/>
        <item x="71"/>
        <item x="102"/>
        <item x="73"/>
        <item x="74"/>
        <item x="75"/>
        <item x="76"/>
        <item x="78"/>
        <item x="210"/>
        <item x="225"/>
        <item x="229"/>
        <item x="157"/>
        <item x="156"/>
        <item x="83"/>
        <item x="158"/>
        <item x="155"/>
        <item x="87"/>
        <item x="44"/>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2"/>
        <item x="14"/>
        <item x="80"/>
        <item x="33"/>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2"/>
        <item x="56"/>
        <item x="57"/>
        <item x="94"/>
        <item x="185"/>
        <item x="245"/>
        <item x="216"/>
        <item x="112"/>
        <item x="246"/>
        <item x="34"/>
        <item x="53"/>
        <item x="55"/>
        <item x="88"/>
        <item x="89"/>
        <item x="91"/>
        <item x="93"/>
        <item x="95"/>
        <item x="96"/>
        <item x="98"/>
        <item x="100"/>
        <item x="172"/>
        <item x="173"/>
        <item x="176"/>
        <item x="178"/>
        <item x="181"/>
        <item x="186"/>
        <item x="187"/>
        <item x="188"/>
        <item x="208"/>
        <item x="223"/>
        <item x="224"/>
        <item x="226"/>
        <item x="227"/>
        <item x="228"/>
        <item x="232"/>
        <item x="190"/>
        <item x="268"/>
        <item x="192"/>
        <item x="82"/>
        <item x="194"/>
        <item x="234"/>
        <item x="235"/>
        <item x="236"/>
        <item x="195"/>
        <item x="238"/>
        <item x="196"/>
        <item x="197"/>
        <item x="239"/>
        <item x="198"/>
        <item x="199"/>
        <item x="200"/>
        <item x="240"/>
        <item x="201"/>
        <item x="202"/>
        <item x="203"/>
        <item x="204"/>
        <item x="205"/>
        <item x="206"/>
        <item x="207"/>
        <item x="241"/>
        <item x="209"/>
        <item x="179"/>
        <item x="242"/>
        <item x="243"/>
        <item x="244"/>
        <item x="247"/>
        <item x="248"/>
        <item x="249"/>
        <item x="250"/>
        <item x="251"/>
        <item x="32"/>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 x="20"/>
        <item x="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86">
    <i>
      <x/>
      <x v="184"/>
      <x v="14"/>
    </i>
    <i>
      <x v="1"/>
      <x v="152"/>
      <x v="14"/>
    </i>
    <i>
      <x v="2"/>
      <x v="186"/>
      <x v="14"/>
    </i>
    <i>
      <x v="3"/>
      <x v="185"/>
      <x v="14"/>
    </i>
    <i>
      <x v="4"/>
      <x v="187"/>
      <x v="14"/>
    </i>
    <i>
      <x v="5"/>
      <x v="171"/>
      <x v="14"/>
    </i>
    <i>
      <x v="6"/>
      <x v="172"/>
      <x v="14"/>
    </i>
    <i>
      <x v="7"/>
      <x v="81"/>
      <x v="14"/>
    </i>
    <i>
      <x v="8"/>
      <x v="176"/>
      <x v="14"/>
    </i>
    <i>
      <x v="9"/>
      <x v="277"/>
      <x v="14"/>
    </i>
    <i>
      <x v="10"/>
      <x v="51"/>
      <x v="14"/>
    </i>
    <i>
      <x v="11"/>
      <x v="60"/>
      <x v="14"/>
    </i>
    <i>
      <x v="12"/>
      <x v="59"/>
      <x v="14"/>
    </i>
    <i>
      <x v="13"/>
      <x v="79"/>
      <x v="14"/>
    </i>
    <i>
      <x v="14"/>
      <x v="122"/>
      <x v="14"/>
    </i>
    <i>
      <x v="15"/>
      <x v="43"/>
      <x v="14"/>
    </i>
    <i>
      <x v="16"/>
      <x v="44"/>
      <x v="14"/>
    </i>
    <i>
      <x v="17"/>
      <x v="102"/>
      <x v="14"/>
    </i>
    <i>
      <x v="18"/>
      <x v="103"/>
      <x v="14"/>
    </i>
    <i>
      <x v="19"/>
      <x v="199"/>
      <x v="14"/>
    </i>
    <i>
      <x v="20"/>
      <x v="224"/>
      <x v="14"/>
    </i>
    <i>
      <x v="21"/>
      <x v="139"/>
      <x v="14"/>
    </i>
    <i>
      <x v="22"/>
      <x v="162"/>
      <x v="20"/>
    </i>
    <i>
      <x v="23"/>
      <x v="164"/>
      <x v="20"/>
    </i>
    <i>
      <x v="24"/>
      <x v="71"/>
      <x v="20"/>
    </i>
    <i>
      <x v="25"/>
      <x v="30"/>
      <x v="20"/>
    </i>
    <i>
      <x v="26"/>
      <x v="75"/>
      <x v="20"/>
    </i>
    <i>
      <x v="27"/>
      <x v="163"/>
      <x v="20"/>
    </i>
    <i>
      <x v="28"/>
      <x v="74"/>
      <x v="20"/>
    </i>
    <i>
      <x v="29"/>
      <x v="161"/>
      <x v="20"/>
    </i>
    <i>
      <x v="30"/>
      <x v="146"/>
      <x v="20"/>
    </i>
    <i>
      <x v="31"/>
      <x v="221"/>
      <x v="20"/>
    </i>
    <i>
      <x v="32"/>
      <x v="220"/>
      <x v="20"/>
    </i>
    <i>
      <x v="33"/>
      <x v="193"/>
      <x v="20"/>
    </i>
    <i>
      <x v="34"/>
      <x v="188"/>
      <x v="20"/>
    </i>
    <i>
      <x v="35"/>
      <x v="192"/>
      <x v="20"/>
    </i>
    <i>
      <x v="36"/>
      <x v="77"/>
      <x v="20"/>
    </i>
    <i>
      <x v="37"/>
      <x v="76"/>
      <x v="20"/>
    </i>
    <i>
      <x v="38"/>
      <x v="173"/>
      <x v="20"/>
    </i>
    <i>
      <x v="39"/>
      <x v="21"/>
      <x v="1"/>
    </i>
    <i>
      <x v="40"/>
      <x v="38"/>
      <x v="1"/>
    </i>
    <i>
      <x v="41"/>
      <x v="197"/>
      <x v="1"/>
    </i>
    <i>
      <x v="42"/>
      <x v="55"/>
      <x v="1"/>
    </i>
    <i>
      <x v="43"/>
      <x v="29"/>
      <x v="1"/>
    </i>
    <i>
      <x v="44"/>
      <x v="166"/>
      <x/>
    </i>
    <i>
      <x v="45"/>
      <x v="46"/>
      <x/>
    </i>
    <i>
      <x v="46"/>
      <x v="64"/>
      <x/>
    </i>
    <i>
      <x v="47"/>
      <x v="3"/>
      <x/>
    </i>
    <i>
      <x v="48"/>
      <x v="121"/>
      <x/>
    </i>
    <i>
      <x v="49"/>
      <x v="40"/>
      <x/>
    </i>
    <i>
      <x v="50"/>
      <x v="200"/>
      <x/>
    </i>
    <i>
      <x v="51"/>
      <x v="140"/>
      <x/>
    </i>
    <i>
      <x v="52"/>
      <x v="181"/>
      <x/>
    </i>
    <i>
      <x v="53"/>
      <x v="112"/>
      <x v="12"/>
    </i>
    <i>
      <x v="54"/>
      <x v="113"/>
      <x v="12"/>
    </i>
    <i>
      <x v="55"/>
      <x v="90"/>
      <x v="12"/>
    </i>
    <i>
      <x v="56"/>
      <x v="151"/>
      <x v="12"/>
    </i>
    <i>
      <x v="57"/>
      <x v="183"/>
      <x v="12"/>
    </i>
    <i>
      <x v="58"/>
      <x v="123"/>
      <x v="12"/>
    </i>
    <i>
      <x v="59"/>
      <x v="80"/>
      <x v="12"/>
    </i>
    <i>
      <x v="60"/>
      <x v="84"/>
      <x v="12"/>
    </i>
    <i>
      <x v="61"/>
      <x v="73"/>
      <x v="12"/>
    </i>
    <i>
      <x v="62"/>
      <x v="159"/>
      <x v="12"/>
    </i>
    <i>
      <x v="63"/>
      <x v="93"/>
      <x v="8"/>
    </i>
    <i>
      <x v="64"/>
      <x v="174"/>
      <x v="18"/>
    </i>
    <i>
      <x v="65"/>
      <x v="175"/>
      <x v="18"/>
    </i>
    <i>
      <x v="66"/>
      <x v="66"/>
      <x v="12"/>
    </i>
    <i>
      <x v="67"/>
      <x v="67"/>
      <x v="12"/>
    </i>
    <i>
      <x v="68"/>
      <x v="65"/>
      <x v="12"/>
    </i>
    <i>
      <x v="69"/>
      <x v="153"/>
      <x v="12"/>
    </i>
    <i>
      <x v="70"/>
      <x v="170"/>
      <x v="12"/>
    </i>
    <i>
      <x v="71"/>
      <x v="53"/>
      <x v="5"/>
    </i>
    <i>
      <x v="72"/>
      <x v="191"/>
      <x v="17"/>
    </i>
    <i>
      <x v="73"/>
      <x v="279"/>
      <x v="10"/>
    </i>
    <i>
      <x v="74"/>
      <x v="52"/>
      <x v="10"/>
    </i>
    <i>
      <x v="75"/>
      <x v="144"/>
      <x v="10"/>
    </i>
    <i>
      <x v="76"/>
      <x v="178"/>
      <x v="11"/>
    </i>
    <i>
      <x v="77"/>
      <x v="142"/>
      <x v="11"/>
    </i>
    <i>
      <x v="78"/>
      <x v="148"/>
      <x v="2"/>
    </i>
    <i>
      <x v="79"/>
      <x v="149"/>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9"/>
      <x v="2"/>
    </i>
    <i>
      <x v="96"/>
      <x v="157"/>
      <x v="2"/>
    </i>
    <i>
      <x v="97"/>
      <x v="141"/>
      <x v="2"/>
    </i>
    <i>
      <x v="98"/>
      <x v="169"/>
      <x v="2"/>
    </i>
    <i>
      <x v="99"/>
      <x v="201"/>
      <x v="2"/>
    </i>
    <i>
      <x v="100"/>
      <x v="104"/>
      <x v="2"/>
    </i>
    <i>
      <x v="101"/>
      <x v="69"/>
      <x v="2"/>
    </i>
    <i>
      <x v="102"/>
      <x v="167"/>
      <x v="2"/>
    </i>
    <i>
      <x v="103"/>
      <x v="19"/>
      <x v="2"/>
    </i>
    <i>
      <x v="104"/>
      <x v="182"/>
      <x v="2"/>
    </i>
    <i>
      <x v="105"/>
      <x v="225"/>
      <x v="20"/>
    </i>
    <i>
      <x v="106"/>
      <x v="17"/>
      <x v="20"/>
    </i>
    <i>
      <x v="107"/>
      <x v="16"/>
      <x v="20"/>
    </i>
    <i>
      <x v="108"/>
      <x v="31"/>
      <x v="20"/>
    </i>
    <i>
      <x v="109"/>
      <x v="196"/>
      <x v="20"/>
    </i>
    <i>
      <x v="110"/>
      <x v="222"/>
      <x v="20"/>
    </i>
    <i>
      <x v="111"/>
      <x v="89"/>
      <x v="20"/>
    </i>
    <i>
      <x v="112"/>
      <x v="72"/>
      <x v="20"/>
    </i>
    <i>
      <x v="113"/>
      <x v="223"/>
      <x v="20"/>
    </i>
    <i>
      <x v="114"/>
      <x v="45"/>
      <x v="12"/>
    </i>
    <i>
      <x v="115"/>
      <x v="39"/>
      <x v="12"/>
    </i>
    <i>
      <x v="116"/>
      <x v="24"/>
      <x v="12"/>
    </i>
    <i>
      <x v="117"/>
      <x v="155"/>
      <x v="12"/>
    </i>
    <i>
      <x v="118"/>
      <x v="56"/>
      <x v="8"/>
    </i>
    <i>
      <x v="119"/>
      <x v="18"/>
      <x v="8"/>
    </i>
    <i>
      <x v="120"/>
      <x v="150"/>
      <x v="12"/>
    </i>
    <i>
      <x v="121"/>
      <x v="87"/>
      <x v="8"/>
    </i>
    <i>
      <x v="122"/>
      <x v="86"/>
      <x v="8"/>
    </i>
    <i>
      <x v="123"/>
      <x v="88"/>
      <x v="8"/>
    </i>
    <i>
      <x v="124"/>
      <x v="68"/>
      <x v="8"/>
    </i>
    <i>
      <x v="125"/>
      <x v="124"/>
      <x v="8"/>
    </i>
    <i>
      <x v="126"/>
      <x v="135"/>
      <x v="8"/>
    </i>
    <i>
      <x v="127"/>
      <x v="58"/>
      <x v="4"/>
    </i>
    <i>
      <x v="128"/>
      <x v="57"/>
      <x v="18"/>
    </i>
    <i>
      <x v="129"/>
      <x v="32"/>
      <x v="2"/>
    </i>
    <i>
      <x v="130"/>
      <x v="147"/>
      <x v="11"/>
    </i>
    <i>
      <x v="131"/>
      <x v="22"/>
      <x/>
    </i>
    <i>
      <x v="132"/>
      <x v="160"/>
      <x v="20"/>
    </i>
    <i>
      <x v="133"/>
      <x v="154"/>
      <x v="14"/>
    </i>
    <i>
      <x v="134"/>
      <x v="35"/>
      <x/>
    </i>
    <i>
      <x v="135"/>
      <x v="63"/>
      <x v="2"/>
    </i>
    <i>
      <x v="136"/>
      <x v="2"/>
      <x v="2"/>
    </i>
    <i>
      <x v="137"/>
      <x v="13"/>
      <x v="2"/>
    </i>
    <i>
      <x v="138"/>
      <x v="8"/>
      <x v="2"/>
    </i>
    <i>
      <x v="139"/>
      <x/>
      <x v="2"/>
    </i>
    <i>
      <x v="140"/>
      <x v="15"/>
      <x v="2"/>
    </i>
    <i>
      <x v="141"/>
      <x v="6"/>
      <x v="2"/>
    </i>
    <i>
      <x v="142"/>
      <x v="23"/>
      <x v="2"/>
    </i>
    <i>
      <x v="143"/>
      <x v="198"/>
      <x v="2"/>
    </i>
    <i>
      <x v="144"/>
      <x v="4"/>
      <x v="2"/>
    </i>
    <i>
      <x v="145"/>
      <x v="120"/>
      <x v="2"/>
    </i>
    <i>
      <x v="146"/>
      <x v="110"/>
      <x v="2"/>
    </i>
    <i>
      <x v="147"/>
      <x v="1"/>
      <x v="2"/>
    </i>
    <i>
      <x v="148"/>
      <x v="25"/>
      <x v="2"/>
    </i>
    <i>
      <x v="149"/>
      <x v="62"/>
      <x v="2"/>
    </i>
    <i>
      <x v="150"/>
      <x v="165"/>
      <x v="2"/>
    </i>
    <i>
      <x v="151"/>
      <x v="168"/>
      <x v="2"/>
    </i>
    <i>
      <x v="152"/>
      <x v="195"/>
      <x v="2"/>
    </i>
    <i>
      <x v="153"/>
      <x v="194"/>
      <x v="2"/>
    </i>
    <i>
      <x v="154"/>
      <x v="26"/>
      <x v="2"/>
    </i>
    <i>
      <x v="155"/>
      <x v="14"/>
      <x v="2"/>
    </i>
    <i>
      <x v="156"/>
      <x v="34"/>
      <x v="2"/>
    </i>
    <i>
      <x v="157"/>
      <x v="5"/>
      <x v="2"/>
    </i>
    <i>
      <x v="158"/>
      <x v="33"/>
      <x v="2"/>
    </i>
    <i>
      <x v="159"/>
      <x v="136"/>
      <x v="2"/>
    </i>
    <i>
      <x v="160"/>
      <x v="158"/>
      <x/>
    </i>
    <i>
      <x v="161"/>
      <x v="7"/>
      <x/>
    </i>
    <i>
      <x v="162"/>
      <x v="61"/>
      <x v="1"/>
    </i>
    <i>
      <x v="163"/>
      <x v="35"/>
      <x v="8"/>
    </i>
    <i>
      <x v="164"/>
      <x v="35"/>
      <x v="12"/>
    </i>
    <i>
      <x v="165"/>
      <x v="85"/>
      <x v="12"/>
    </i>
    <i>
      <x v="166"/>
      <x v="35"/>
      <x v="18"/>
    </i>
    <i>
      <x v="167"/>
      <x v="47"/>
      <x v="12"/>
    </i>
    <i>
      <x v="168"/>
      <x v="202"/>
      <x v="2"/>
    </i>
    <i>
      <x v="169"/>
      <x v="54"/>
      <x v="8"/>
    </i>
    <i>
      <x v="170"/>
      <x v="117"/>
      <x v="8"/>
    </i>
    <i>
      <x v="171"/>
      <x v="133"/>
      <x v="8"/>
    </i>
    <i>
      <x v="172"/>
      <x v="180"/>
      <x v="19"/>
    </i>
    <i>
      <x v="173"/>
      <x v="41"/>
      <x v="20"/>
    </i>
    <i>
      <x v="174"/>
      <x v="134"/>
      <x v="8"/>
    </i>
    <i>
      <x v="175"/>
      <x v="156"/>
      <x v="1"/>
    </i>
    <i>
      <x v="176"/>
      <x v="190"/>
      <x/>
    </i>
    <i>
      <x v="177"/>
      <x v="82"/>
      <x v="8"/>
    </i>
    <i>
      <x v="178"/>
      <x v="83"/>
      <x v="8"/>
    </i>
    <i>
      <x v="179"/>
      <x v="12"/>
      <x v="8"/>
    </i>
    <i>
      <x v="180"/>
      <x v="10"/>
      <x v="8"/>
    </i>
    <i>
      <x v="181"/>
      <x v="11"/>
      <x v="8"/>
    </i>
    <i>
      <x v="182"/>
      <x v="42"/>
      <x v="8"/>
    </i>
    <i>
      <x v="183"/>
      <x v="78"/>
      <x v="8"/>
    </i>
    <i>
      <x v="184"/>
      <x v="177"/>
      <x v="8"/>
    </i>
    <i>
      <x v="185"/>
      <x v="145"/>
      <x v="17"/>
    </i>
    <i>
      <x v="186"/>
      <x v="70"/>
      <x v="7"/>
    </i>
    <i>
      <x v="187"/>
      <x v="179"/>
      <x/>
    </i>
    <i>
      <x v="188"/>
      <x v="126"/>
      <x v="15"/>
    </i>
    <i>
      <x v="189"/>
      <x v="129"/>
      <x v="15"/>
    </i>
    <i>
      <x v="190"/>
      <x v="127"/>
      <x v="15"/>
    </i>
    <i>
      <x v="191"/>
      <x v="125"/>
      <x v="15"/>
    </i>
    <i>
      <x v="192"/>
      <x v="115"/>
      <x v="13"/>
    </i>
    <i>
      <x v="193"/>
      <x v="118"/>
      <x v="6"/>
    </i>
    <i>
      <x v="194"/>
      <x v="132"/>
      <x v="6"/>
    </i>
    <i>
      <x v="195"/>
      <x v="91"/>
      <x v="9"/>
    </i>
    <i>
      <x v="196"/>
      <x v="36"/>
      <x v="13"/>
    </i>
    <i>
      <x v="197"/>
      <x v="131"/>
      <x v="13"/>
    </i>
    <i>
      <x v="198"/>
      <x v="114"/>
      <x v="13"/>
    </i>
    <i>
      <x v="199"/>
      <x v="137"/>
      <x v="16"/>
    </i>
    <i>
      <x v="200"/>
      <x v="48"/>
      <x v="6"/>
    </i>
    <i>
      <x v="201"/>
      <x v="49"/>
      <x v="6"/>
    </i>
    <i>
      <x v="202"/>
      <x v="50"/>
      <x v="6"/>
    </i>
    <i>
      <x v="203"/>
      <x v="111"/>
      <x v="6"/>
    </i>
    <i>
      <x v="204"/>
      <x v="119"/>
      <x v="6"/>
    </i>
    <i>
      <x v="205"/>
      <x v="203"/>
      <x v="6"/>
    </i>
    <i>
      <x v="206"/>
      <x v="37"/>
      <x v="13"/>
    </i>
    <i>
      <x v="207"/>
      <x v="128"/>
      <x v="15"/>
    </i>
    <i>
      <x v="208"/>
      <x v="130"/>
      <x v="13"/>
    </i>
    <i>
      <x v="209"/>
      <x v="143"/>
      <x v="3"/>
    </i>
    <i>
      <x v="210"/>
      <x v="92"/>
      <x v="9"/>
    </i>
    <i>
      <x v="211"/>
      <x v="138"/>
      <x v="16"/>
    </i>
    <i>
      <x v="212"/>
      <x v="27"/>
      <x v="6"/>
    </i>
    <i>
      <x v="213"/>
      <x v="28"/>
      <x v="6"/>
    </i>
    <i>
      <x v="214"/>
      <x v="204"/>
      <x v="8"/>
    </i>
    <i>
      <x v="215"/>
      <x v="206"/>
      <x/>
    </i>
    <i>
      <x v="216"/>
      <x v="205"/>
      <x v="1"/>
    </i>
    <i>
      <x v="217"/>
      <x v="207"/>
      <x v="8"/>
    </i>
    <i>
      <x v="218"/>
      <x v="208"/>
      <x v="17"/>
    </i>
    <i>
      <x v="219"/>
      <x v="209"/>
      <x v="13"/>
    </i>
    <i>
      <x v="220"/>
      <x v="210"/>
      <x v="15"/>
    </i>
    <i>
      <x v="221"/>
      <x v="214"/>
      <x v="15"/>
    </i>
    <i>
      <x v="222"/>
      <x v="211"/>
      <x v="8"/>
    </i>
    <i>
      <x v="223"/>
      <x v="212"/>
      <x v="13"/>
    </i>
    <i>
      <x v="224"/>
      <x v="213"/>
      <x v="2"/>
    </i>
    <i>
      <x v="225"/>
      <x v="215"/>
      <x v="8"/>
    </i>
    <i>
      <x v="226"/>
      <x v="216"/>
      <x v="6"/>
    </i>
    <i>
      <x v="227"/>
      <x v="217"/>
      <x v="2"/>
    </i>
    <i>
      <x v="228"/>
      <x v="218"/>
      <x v="11"/>
    </i>
    <i>
      <x v="229"/>
      <x v="219"/>
      <x v="11"/>
    </i>
    <i>
      <x v="230"/>
      <x v="227"/>
      <x v="3"/>
    </i>
    <i>
      <x v="231"/>
      <x v="226"/>
      <x v="17"/>
    </i>
    <i>
      <x v="232"/>
      <x v="228"/>
      <x v="10"/>
    </i>
    <i>
      <x v="233"/>
      <x v="229"/>
      <x v="10"/>
    </i>
    <i>
      <x v="234"/>
      <x v="230"/>
      <x v="10"/>
    </i>
    <i>
      <x v="235"/>
      <x v="231"/>
      <x v="19"/>
    </i>
    <i>
      <x v="236"/>
      <x v="232"/>
      <x v="19"/>
    </i>
    <i>
      <x v="237"/>
      <x v="233"/>
      <x v="12"/>
    </i>
    <i>
      <x v="238"/>
      <x v="234"/>
      <x v="6"/>
    </i>
    <i>
      <x v="239"/>
      <x v="235"/>
      <x v="2"/>
    </i>
    <i>
      <x v="240"/>
      <x v="116"/>
      <x v="8"/>
    </i>
    <i>
      <x v="241"/>
      <x v="236"/>
      <x v="6"/>
    </i>
    <i>
      <x v="242"/>
      <x v="240"/>
      <x v="16"/>
    </i>
    <i>
      <x v="243"/>
      <x v="241"/>
      <x v="9"/>
    </i>
    <i>
      <x v="244"/>
      <x v="237"/>
      <x v="15"/>
    </i>
    <i>
      <x v="245"/>
      <x v="238"/>
      <x v="15"/>
    </i>
    <i>
      <x v="246"/>
      <x v="239"/>
      <x v="6"/>
    </i>
    <i>
      <x v="247"/>
      <x v="242"/>
      <x v="3"/>
    </i>
    <i>
      <x v="248"/>
      <x v="243"/>
      <x v="6"/>
    </i>
    <i>
      <x v="249"/>
      <x v="244"/>
      <x v="2"/>
    </i>
    <i>
      <x v="250"/>
      <x v="245"/>
      <x v="2"/>
    </i>
    <i>
      <x v="251"/>
      <x v="246"/>
      <x v="2"/>
    </i>
    <i>
      <x v="252"/>
      <x v="247"/>
      <x v="2"/>
    </i>
    <i>
      <x v="253"/>
      <x v="248"/>
      <x v="2"/>
    </i>
    <i>
      <x v="254"/>
      <x v="249"/>
      <x v="16"/>
    </i>
    <i>
      <x v="255"/>
      <x v="250"/>
      <x v="16"/>
    </i>
    <i>
      <x v="256"/>
      <x v="251"/>
      <x v="16"/>
    </i>
    <i>
      <x v="257"/>
      <x v="252"/>
      <x v="16"/>
    </i>
    <i>
      <x v="258"/>
      <x v="253"/>
      <x v="16"/>
    </i>
    <i>
      <x v="259"/>
      <x v="254"/>
      <x v="13"/>
    </i>
    <i>
      <x v="260"/>
      <x v="255"/>
      <x v="13"/>
    </i>
    <i>
      <x v="261"/>
      <x v="256"/>
      <x v="13"/>
    </i>
    <i>
      <x v="262"/>
      <x v="257"/>
      <x v="13"/>
    </i>
    <i>
      <x v="263"/>
      <x v="258"/>
      <x v="13"/>
    </i>
    <i>
      <x v="264"/>
      <x v="259"/>
      <x v="13"/>
    </i>
    <i>
      <x v="265"/>
      <x v="260"/>
      <x v="13"/>
    </i>
    <i>
      <x v="266"/>
      <x v="261"/>
      <x v="13"/>
    </i>
    <i>
      <x v="267"/>
      <x v="262"/>
      <x v="13"/>
    </i>
    <i>
      <x v="268"/>
      <x v="263"/>
      <x v="13"/>
    </i>
    <i>
      <x v="269"/>
      <x v="264"/>
      <x v="13"/>
    </i>
    <i>
      <x v="270"/>
      <x v="265"/>
      <x v="21"/>
    </i>
    <i>
      <x v="271"/>
      <x v="266"/>
      <x v="6"/>
    </i>
    <i>
      <x v="272"/>
      <x v="267"/>
      <x v="6"/>
    </i>
    <i>
      <x v="273"/>
      <x v="268"/>
      <x v="13"/>
    </i>
    <i>
      <x v="274"/>
      <x v="269"/>
      <x v="20"/>
    </i>
    <i>
      <x v="275"/>
      <x v="270"/>
      <x v="20"/>
    </i>
    <i>
      <x v="276"/>
      <x v="271"/>
      <x v="2"/>
    </i>
    <i>
      <x v="277"/>
      <x v="272"/>
      <x v="16"/>
    </i>
    <i>
      <x v="278"/>
      <x v="276"/>
      <x v="22"/>
    </i>
    <i>
      <x v="279"/>
      <x v="273"/>
      <x v="22"/>
    </i>
    <i>
      <x v="280"/>
      <x v="274"/>
      <x v="22"/>
    </i>
    <i>
      <x v="281"/>
      <x v="275"/>
      <x v="22"/>
    </i>
    <i>
      <x v="282"/>
      <x v="278"/>
      <x v="14"/>
    </i>
    <i r="1">
      <x v="281"/>
      <x v="14"/>
    </i>
    <i r="1">
      <x v="282"/>
      <x v="6"/>
    </i>
    <i>
      <x v="283"/>
      <x v="280"/>
      <x v="10"/>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89" firstHeaderRow="1" firstDataRow="1" firstDataCol="4"/>
  <pivotFields count="3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3">
        <item x="14"/>
        <item x="147"/>
        <item x="138"/>
        <item x="33"/>
        <item x="48"/>
        <item x="22"/>
        <item x="145"/>
        <item x="155"/>
        <item x="34"/>
        <item x="259"/>
        <item x="163"/>
        <item x="43"/>
        <item x="45"/>
        <item x="264"/>
        <item x="271"/>
        <item x="57"/>
        <item x="58"/>
        <item x="73"/>
        <item x="139"/>
        <item x="80"/>
        <item x="81"/>
        <item x="82"/>
        <item x="109"/>
        <item x="122"/>
        <item x="83"/>
        <item x="106"/>
        <item x="84"/>
        <item x="41"/>
        <item x="85"/>
        <item x="205"/>
        <item x="140"/>
        <item x="9"/>
        <item x="119"/>
        <item x="86"/>
        <item x="87"/>
        <item x="226"/>
        <item x="230"/>
        <item x="91"/>
        <item x="263"/>
        <item x="217"/>
        <item x="27"/>
        <item x="111"/>
        <item x="132"/>
        <item x="160"/>
        <item x="93"/>
        <item x="197"/>
        <item x="136"/>
        <item x="97"/>
        <item x="280"/>
        <item x="186"/>
        <item x="194"/>
        <item x="42"/>
        <item x="118"/>
        <item x="50"/>
        <item x="173"/>
        <item x="95"/>
        <item x="192"/>
        <item x="15"/>
        <item x="16"/>
        <item x="117"/>
        <item x="258"/>
        <item x="20"/>
        <item x="257"/>
        <item x="98"/>
        <item x="255"/>
        <item x="167"/>
        <item x="171"/>
        <item x="196"/>
        <item x="174"/>
        <item x="278"/>
        <item x="176"/>
        <item x="282"/>
        <item x="10"/>
        <item x="76"/>
        <item x="103"/>
        <item x="104"/>
        <item x="105"/>
        <item x="44"/>
        <item x="121"/>
        <item x="131"/>
        <item x="107"/>
        <item x="219"/>
        <item x="12"/>
        <item x="11"/>
        <item x="165"/>
        <item x="150"/>
        <item x="137"/>
        <item x="47"/>
        <item x="254"/>
        <item x="70"/>
        <item x="68"/>
        <item x="69"/>
        <item x="108"/>
        <item x="199"/>
        <item x="75"/>
        <item x="202"/>
        <item x="110"/>
        <item x="113"/>
        <item x="26"/>
        <item x="115"/>
        <item x="63"/>
        <item x="240"/>
        <item x="30"/>
        <item x="28"/>
        <item x="39"/>
        <item x="38"/>
        <item x="183"/>
        <item x="188"/>
        <item x="13"/>
        <item x="61"/>
        <item x="7"/>
        <item x="277"/>
        <item x="114"/>
        <item x="127"/>
        <item x="279"/>
        <item x="62"/>
        <item x="242"/>
        <item x="166"/>
        <item x="125"/>
        <item x="195"/>
        <item x="124"/>
        <item x="193"/>
        <item x="126"/>
        <item x="128"/>
        <item x="129"/>
        <item x="96"/>
        <item x="224"/>
        <item x="65"/>
        <item x="130"/>
        <item x="141"/>
        <item x="142"/>
        <item x="143"/>
        <item x="144"/>
        <item x="146"/>
        <item x="148"/>
        <item x="149"/>
        <item x="17"/>
        <item x="18"/>
        <item x="151"/>
        <item x="156"/>
        <item x="157"/>
        <item x="158"/>
        <item x="88"/>
        <item x="159"/>
        <item x="164"/>
        <item x="179"/>
        <item x="198"/>
        <item x="168"/>
        <item x="55"/>
        <item x="169"/>
        <item x="256"/>
        <item x="246"/>
        <item x="245"/>
        <item x="101"/>
        <item x="90"/>
        <item x="177"/>
        <item x="178"/>
        <item x="249"/>
        <item x="92"/>
        <item x="237"/>
        <item x="184"/>
        <item x="180"/>
        <item x="232"/>
        <item x="236"/>
        <item x="49"/>
        <item x="216"/>
        <item x="181"/>
        <item x="60"/>
        <item x="182"/>
        <item x="89"/>
        <item x="35"/>
        <item x="233"/>
        <item x="56"/>
        <item x="206"/>
        <item x="54"/>
        <item x="221"/>
        <item x="99"/>
        <item x="94"/>
        <item x="247"/>
        <item x="187"/>
        <item x="189"/>
        <item x="191"/>
        <item x="161"/>
        <item x="238"/>
        <item x="170"/>
        <item x="225"/>
        <item x="234"/>
        <item x="261"/>
        <item x="78"/>
        <item x="252"/>
        <item x="253"/>
        <item x="251"/>
        <item x="23"/>
        <item x="52"/>
        <item x="100"/>
        <item x="208"/>
        <item x="222"/>
        <item x="77"/>
        <item x="214"/>
        <item x="32"/>
        <item x="133"/>
        <item x="220"/>
        <item x="203"/>
        <item x="239"/>
        <item x="223"/>
        <item x="227"/>
        <item x="123"/>
        <item x="228"/>
        <item x="1"/>
        <item x="71"/>
        <item x="135"/>
        <item x="120"/>
        <item x="116"/>
        <item x="281"/>
        <item x="241"/>
        <item x="175"/>
        <item x="229"/>
        <item x="162"/>
        <item x="64"/>
        <item x="134"/>
        <item x="31"/>
        <item x="24"/>
        <item x="29"/>
        <item x="25"/>
        <item x="152"/>
        <item x="46"/>
        <item x="231"/>
        <item x="153"/>
        <item x="204"/>
        <item x="235"/>
        <item x="200"/>
        <item x="201"/>
        <item x="190"/>
        <item x="72"/>
        <item x="218"/>
        <item x="213"/>
        <item x="215"/>
        <item x="5"/>
        <item x="6"/>
        <item x="40"/>
        <item x="66"/>
        <item x="67"/>
        <item x="250"/>
        <item x="8"/>
        <item x="243"/>
        <item x="79"/>
        <item x="244"/>
        <item x="262"/>
        <item x="172"/>
        <item x="53"/>
        <item x="210"/>
        <item x="212"/>
        <item x="211"/>
        <item x="209"/>
        <item x="260"/>
        <item x="59"/>
        <item x="0"/>
        <item x="21"/>
        <item x="3"/>
        <item x="2"/>
        <item x="4"/>
        <item x="265"/>
        <item x="36"/>
        <item x="266"/>
        <item x="267"/>
        <item x="268"/>
        <item x="74"/>
        <item x="248"/>
        <item x="37"/>
        <item x="269"/>
        <item x="207"/>
        <item x="270"/>
        <item x="154"/>
        <item x="276"/>
        <item x="112"/>
        <item x="272"/>
        <item x="273"/>
        <item x="19"/>
        <item x="51"/>
        <item x="102"/>
        <item x="274"/>
        <item x="275"/>
        <item x="185"/>
      </items>
      <extLst>
        <ext xmlns:x14="http://schemas.microsoft.com/office/spreadsheetml/2009/9/main" uri="{2946ED86-A175-432a-8AC1-64E0C546D7DE}">
          <x14:pivotField fillDownLabels="1"/>
        </ext>
      </extLst>
    </pivotField>
    <pivotField axis="axisRow" compact="0" outline="0" showAll="0" defaultSubtotal="0">
      <items count="284">
        <item x="0"/>
        <item x="1"/>
        <item x="2"/>
        <item x="3"/>
        <item x="4"/>
        <item x="5"/>
        <item x="6"/>
        <item x="7"/>
        <item x="8"/>
        <item x="9"/>
        <item x="10"/>
        <item x="11"/>
        <item x="12"/>
        <item x="13"/>
        <item x="183"/>
        <item x="15"/>
        <item x="16"/>
        <item x="17"/>
        <item x="18"/>
        <item x="19"/>
        <item x="21"/>
        <item x="22"/>
        <item x="23"/>
        <item x="24"/>
        <item x="25"/>
        <item x="26"/>
        <item x="27"/>
        <item x="28"/>
        <item x="29"/>
        <item x="30"/>
        <item x="31"/>
        <item x="222"/>
        <item x="170"/>
        <item x="271"/>
        <item x="35"/>
        <item x="36"/>
        <item x="37"/>
        <item x="38"/>
        <item x="39"/>
        <item x="40"/>
        <item x="41"/>
        <item x="274"/>
        <item x="43"/>
        <item x="90"/>
        <item x="45"/>
        <item x="97"/>
        <item x="46"/>
        <item x="47"/>
        <item x="48"/>
        <item x="49"/>
        <item x="50"/>
        <item x="51"/>
        <item x="52"/>
        <item x="54"/>
        <item x="171"/>
        <item x="128"/>
        <item x="230"/>
        <item x="58"/>
        <item x="59"/>
        <item x="60"/>
        <item x="61"/>
        <item x="62"/>
        <item x="63"/>
        <item x="64"/>
        <item x="65"/>
        <item x="66"/>
        <item x="67"/>
        <item x="68"/>
        <item x="69"/>
        <item x="70"/>
        <item x="71"/>
        <item x="102"/>
        <item x="73"/>
        <item x="74"/>
        <item x="75"/>
        <item x="76"/>
        <item x="78"/>
        <item x="210"/>
        <item x="225"/>
        <item x="229"/>
        <item x="157"/>
        <item x="156"/>
        <item x="83"/>
        <item x="158"/>
        <item x="155"/>
        <item x="87"/>
        <item x="44"/>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2"/>
        <item x="14"/>
        <item x="80"/>
        <item x="33"/>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2"/>
        <item x="56"/>
        <item x="57"/>
        <item x="94"/>
        <item x="185"/>
        <item x="245"/>
        <item x="216"/>
        <item x="112"/>
        <item x="246"/>
        <item x="34"/>
        <item x="53"/>
        <item x="55"/>
        <item x="88"/>
        <item x="89"/>
        <item x="91"/>
        <item x="93"/>
        <item x="95"/>
        <item x="96"/>
        <item x="98"/>
        <item x="100"/>
        <item x="172"/>
        <item x="173"/>
        <item x="176"/>
        <item x="178"/>
        <item x="181"/>
        <item x="186"/>
        <item x="187"/>
        <item x="188"/>
        <item x="208"/>
        <item x="223"/>
        <item x="224"/>
        <item x="226"/>
        <item x="227"/>
        <item x="228"/>
        <item x="232"/>
        <item x="190"/>
        <item x="268"/>
        <item x="192"/>
        <item x="82"/>
        <item x="194"/>
        <item x="234"/>
        <item x="235"/>
        <item x="236"/>
        <item x="195"/>
        <item x="238"/>
        <item x="196"/>
        <item x="197"/>
        <item x="239"/>
        <item x="198"/>
        <item x="199"/>
        <item x="200"/>
        <item x="240"/>
        <item x="201"/>
        <item x="202"/>
        <item x="203"/>
        <item x="204"/>
        <item x="205"/>
        <item x="206"/>
        <item x="207"/>
        <item x="241"/>
        <item x="209"/>
        <item x="179"/>
        <item x="242"/>
        <item x="243"/>
        <item x="244"/>
        <item x="247"/>
        <item x="248"/>
        <item x="249"/>
        <item x="250"/>
        <item x="251"/>
        <item x="32"/>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 x="20"/>
        <item x="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2">
        <item x="5"/>
        <item x="0"/>
        <item x="1"/>
        <item x="2"/>
        <item x="26"/>
        <item x="3"/>
        <item x="16"/>
        <item x="15"/>
        <item x="4"/>
        <item x="10"/>
        <item x="22"/>
        <item x="7"/>
        <item x="11"/>
        <item x="17"/>
        <item x="28"/>
        <item x="20"/>
        <item x="19"/>
        <item x="18"/>
        <item x="24"/>
        <item x="29"/>
        <item x="12"/>
        <item x="13"/>
        <item x="27"/>
        <item x="30"/>
        <item x="32"/>
        <item x="21"/>
        <item x="25"/>
        <item x="31"/>
        <item x="43"/>
        <item x="34"/>
        <item x="46"/>
        <item x="45"/>
        <item x="33"/>
        <item x="44"/>
        <item x="35"/>
        <item x="38"/>
        <item x="37"/>
        <item x="36"/>
        <item x="39"/>
        <item x="48"/>
        <item x="49"/>
        <item x="47"/>
        <item x="14"/>
        <item n="0" x="6"/>
        <item x="50"/>
        <item x="41"/>
        <item x="42"/>
        <item x="51"/>
        <item x="40"/>
        <item x="8"/>
        <item x="23"/>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86">
    <i>
      <x/>
      <x v="139"/>
      <x/>
      <x v="43"/>
    </i>
    <i>
      <x v="1"/>
      <x v="147"/>
      <x/>
      <x v="18"/>
    </i>
    <i>
      <x v="2"/>
      <x v="136"/>
      <x v="1"/>
      <x v="18"/>
    </i>
    <i>
      <x v="3"/>
      <x v="249"/>
      <x/>
      <x v="42"/>
    </i>
    <i>
      <x v="4"/>
      <x v="47"/>
      <x v="1"/>
      <x v="6"/>
    </i>
    <i>
      <x v="5"/>
      <x v="282"/>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154"/>
      <x/>
      <x v="43"/>
    </i>
    <i>
      <x v="35"/>
      <x v="212"/>
      <x/>
      <x v="43"/>
    </i>
    <i>
      <x v="36"/>
      <x v="213"/>
      <x/>
      <x v="43"/>
    </i>
    <i>
      <x v="37"/>
      <x v="43"/>
      <x/>
      <x v="43"/>
    </i>
    <i>
      <x v="38"/>
      <x v="266"/>
      <x/>
      <x v="43"/>
    </i>
    <i>
      <x v="39"/>
      <x v="274"/>
      <x v="1"/>
      <x v="43"/>
    </i>
    <i>
      <x v="40"/>
      <x v="25"/>
      <x v="1"/>
      <x v="1"/>
    </i>
    <i>
      <x v="41"/>
      <x v="108"/>
      <x v="1"/>
      <x v="7"/>
    </i>
    <i>
      <x v="42"/>
      <x v="129"/>
      <x v="1"/>
      <x v="16"/>
    </i>
    <i>
      <x v="43"/>
      <x v="158"/>
      <x v="1"/>
      <x v="15"/>
    </i>
    <i>
      <x v="44"/>
      <x v="156"/>
      <x/>
      <x v="43"/>
    </i>
    <i>
      <x v="45"/>
      <x v="228"/>
      <x v="1"/>
      <x v="18"/>
    </i>
    <i>
      <x v="46"/>
      <x v="134"/>
      <x v="1"/>
      <x v="43"/>
    </i>
    <i r="1">
      <x v="163"/>
      <x v="1"/>
      <x v="43"/>
    </i>
    <i r="1">
      <x v="164"/>
      <x v="1"/>
      <x v="43"/>
    </i>
    <i r="1">
      <x v="166"/>
      <x/>
      <x v="43"/>
    </i>
    <i>
      <x v="47"/>
      <x v="196"/>
      <x/>
      <x v="43"/>
    </i>
    <i>
      <x v="48"/>
      <x v="273"/>
      <x v="1"/>
      <x v="43"/>
    </i>
    <i>
      <x v="49"/>
      <x v="206"/>
      <x v="1"/>
      <x v="43"/>
    </i>
    <i>
      <x v="50"/>
      <x v="224"/>
      <x v="1"/>
      <x v="15"/>
    </i>
    <i>
      <x v="51"/>
      <x v="40"/>
      <x v="1"/>
      <x v="12"/>
    </i>
    <i>
      <x v="52"/>
      <x v="115"/>
      <x v="1"/>
      <x v="1"/>
    </i>
    <i>
      <x v="53"/>
      <x v="49"/>
      <x v="1"/>
      <x v="7"/>
    </i>
    <i>
      <x v="54"/>
      <x v="173"/>
      <x v="1"/>
      <x v="43"/>
    </i>
    <i>
      <x v="55"/>
      <x v="182"/>
      <x/>
      <x v="43"/>
    </i>
    <i>
      <x v="56"/>
      <x v="218"/>
      <x v="1"/>
      <x v="22"/>
    </i>
    <i>
      <x v="57"/>
      <x v="15"/>
      <x v="1"/>
      <x v="2"/>
    </i>
    <i>
      <x v="58"/>
      <x v="16"/>
      <x v="1"/>
      <x v="2"/>
    </i>
    <i>
      <x v="59"/>
      <x v="114"/>
      <x v="1"/>
      <x v="13"/>
    </i>
    <i>
      <x v="60"/>
      <x v="262"/>
      <x/>
      <x v="43"/>
    </i>
    <i>
      <x v="61"/>
      <x v="282"/>
      <x v="1"/>
      <x v="49"/>
    </i>
    <i>
      <x v="62"/>
      <x v="261"/>
      <x/>
      <x v="43"/>
    </i>
    <i>
      <x v="63"/>
      <x v="45"/>
      <x/>
      <x v="43"/>
    </i>
    <i>
      <x v="64"/>
      <x v="259"/>
      <x/>
      <x v="43"/>
    </i>
    <i>
      <x v="65"/>
      <x v="167"/>
      <x v="1"/>
      <x v="43"/>
    </i>
    <i>
      <x v="66"/>
      <x v="200"/>
      <x/>
      <x v="18"/>
    </i>
    <i>
      <x v="67"/>
      <x v="227"/>
      <x/>
      <x v="34"/>
    </i>
    <i>
      <x v="68"/>
      <x v="201"/>
      <x v="1"/>
      <x v="17"/>
    </i>
    <i>
      <x v="69"/>
      <x v="271"/>
      <x v="1"/>
      <x v="44"/>
    </i>
    <i>
      <x v="70"/>
      <x v="202"/>
      <x v="1"/>
      <x v="17"/>
    </i>
    <i>
      <x v="71"/>
      <x v="277"/>
      <x v="1"/>
      <x v="47"/>
    </i>
    <i>
      <x v="72"/>
      <x v="10"/>
      <x v="1"/>
      <x v="8"/>
    </i>
    <i>
      <x v="73"/>
      <x v="74"/>
      <x v="1"/>
      <x v="12"/>
    </i>
    <i>
      <x v="74"/>
      <x v="71"/>
      <x/>
      <x v="43"/>
    </i>
    <i>
      <x v="75"/>
      <x v="169"/>
      <x/>
      <x v="19"/>
    </i>
    <i>
      <x v="76"/>
      <x v="110"/>
      <x/>
      <x v="1"/>
    </i>
    <i>
      <x v="77"/>
      <x v="42"/>
      <x/>
      <x v="43"/>
    </i>
    <i>
      <x v="78"/>
      <x v="118"/>
      <x v="1"/>
      <x v="5"/>
    </i>
    <i>
      <x v="79"/>
      <x v="128"/>
      <x v="1"/>
      <x v="27"/>
    </i>
    <i>
      <x v="80"/>
      <x v="127"/>
      <x/>
      <x v="43"/>
    </i>
    <i>
      <x v="81"/>
      <x v="276"/>
      <x v="1"/>
      <x v="46"/>
    </i>
    <i>
      <x v="82"/>
      <x v="12"/>
      <x v="1"/>
      <x/>
    </i>
    <i>
      <x v="83"/>
      <x v="11"/>
      <x v="1"/>
      <x v="1"/>
    </i>
    <i>
      <x v="84"/>
      <x v="162"/>
      <x v="1"/>
      <x v="9"/>
    </i>
    <i>
      <x v="85"/>
      <x v="149"/>
      <x v="1"/>
      <x v="18"/>
    </i>
    <i>
      <x v="86"/>
      <x v="135"/>
      <x v="1"/>
      <x v="18"/>
    </i>
    <i>
      <x v="87"/>
      <x v="46"/>
      <x v="1"/>
      <x v="1"/>
    </i>
    <i>
      <x v="88"/>
      <x v="258"/>
      <x v="1"/>
      <x v="43"/>
    </i>
    <i>
      <x v="89"/>
      <x v="68"/>
      <x v="1"/>
      <x v="12"/>
    </i>
    <i>
      <x v="90"/>
      <x v="66"/>
      <x v="1"/>
      <x v="6"/>
    </i>
    <i>
      <x v="91"/>
      <x v="67"/>
      <x v="1"/>
      <x v="11"/>
    </i>
    <i>
      <x v="92"/>
      <x v="124"/>
      <x/>
      <x v="15"/>
    </i>
    <i>
      <x v="93"/>
      <x v="231"/>
      <x v="1"/>
      <x v="37"/>
    </i>
    <i>
      <x v="94"/>
      <x v="73"/>
      <x v="1"/>
      <x v="12"/>
    </i>
    <i>
      <x v="95"/>
      <x v="234"/>
      <x v="1"/>
      <x v="36"/>
    </i>
    <i>
      <x v="96"/>
      <x v="101"/>
      <x/>
      <x v="43"/>
    </i>
    <i>
      <x v="97"/>
      <x v="186"/>
      <x/>
      <x v="23"/>
    </i>
    <i>
      <x v="98"/>
      <x v="24"/>
      <x v="1"/>
      <x v="12"/>
    </i>
    <i>
      <x v="99"/>
      <x v="112"/>
      <x v="1"/>
      <x v="1"/>
    </i>
    <i>
      <x v="100"/>
      <x v="61"/>
      <x/>
      <x v="43"/>
    </i>
    <i>
      <x v="101"/>
      <x v="241"/>
      <x v="1"/>
      <x v="41"/>
    </i>
    <i>
      <x v="102"/>
      <x v="28"/>
      <x v="1"/>
      <x v="21"/>
    </i>
    <i>
      <x v="103"/>
      <x v="26"/>
      <x v="1"/>
      <x v="20"/>
    </i>
    <i>
      <x v="104"/>
      <x v="37"/>
      <x v="1"/>
      <x v="13"/>
    </i>
    <i>
      <x v="105"/>
      <x v="36"/>
      <x v="1"/>
      <x v="7"/>
    </i>
    <i>
      <x v="106"/>
      <x v="183"/>
      <x v="1"/>
      <x v="24"/>
    </i>
    <i>
      <x v="107"/>
      <x v="214"/>
      <x v="1"/>
      <x v="24"/>
    </i>
    <i>
      <x v="108"/>
      <x v="13"/>
      <x v="1"/>
      <x v="3"/>
    </i>
    <i>
      <x v="109"/>
      <x v="59"/>
      <x v="1"/>
      <x v="12"/>
    </i>
    <i>
      <x v="110"/>
      <x v="7"/>
      <x v="1"/>
      <x v="2"/>
    </i>
    <i>
      <x v="111"/>
      <x v="270"/>
      <x v="1"/>
      <x v="43"/>
    </i>
    <i>
      <x v="112"/>
      <x v="177"/>
      <x/>
      <x v="43"/>
    </i>
    <i>
      <x v="113"/>
      <x v="178"/>
      <x/>
      <x v="43"/>
    </i>
    <i>
      <x v="114"/>
      <x v="272"/>
      <x v="1"/>
      <x v="43"/>
    </i>
    <i>
      <x v="115"/>
      <x v="60"/>
      <x/>
      <x v="43"/>
    </i>
    <i>
      <x v="116"/>
      <x v="243"/>
      <x v="1"/>
      <x v="38"/>
    </i>
    <i>
      <x v="117"/>
      <x v="165"/>
      <x/>
      <x v="43"/>
    </i>
    <i>
      <x v="118"/>
      <x v="122"/>
      <x v="1"/>
      <x v="9"/>
    </i>
    <i>
      <x v="119"/>
      <x v="225"/>
      <x v="1"/>
      <x v="29"/>
    </i>
    <i>
      <x v="120"/>
      <x v="121"/>
      <x v="1"/>
      <x v="6"/>
    </i>
    <i>
      <x v="121"/>
      <x v="222"/>
      <x v="1"/>
      <x v="32"/>
    </i>
    <i>
      <x v="122"/>
      <x v="123"/>
      <x v="1"/>
      <x v="43"/>
    </i>
    <i>
      <x v="123"/>
      <x v="111"/>
      <x/>
      <x v="43"/>
    </i>
    <i>
      <x v="124"/>
      <x v="55"/>
      <x/>
      <x v="5"/>
    </i>
    <i>
      <x v="125"/>
      <x v="195"/>
      <x v="1"/>
      <x v="11"/>
    </i>
    <i>
      <x v="126"/>
      <x v="210"/>
      <x v="1"/>
      <x v="12"/>
    </i>
    <i>
      <x v="127"/>
      <x v="63"/>
      <x v="1"/>
      <x v="25"/>
    </i>
    <i>
      <x v="128"/>
      <x v="88"/>
      <x/>
      <x v="43"/>
    </i>
    <i>
      <x v="129"/>
      <x v="87"/>
      <x/>
      <x v="43"/>
    </i>
    <i>
      <x v="130"/>
      <x v="90"/>
      <x/>
      <x v="43"/>
    </i>
    <i>
      <x v="131"/>
      <x v="92"/>
      <x/>
      <x v="43"/>
    </i>
    <i>
      <x v="132"/>
      <x v="93"/>
      <x/>
      <x v="43"/>
    </i>
    <i>
      <x v="133"/>
      <x v="89"/>
      <x/>
      <x v="43"/>
    </i>
    <i>
      <x v="134"/>
      <x v="94"/>
      <x/>
      <x v="43"/>
    </i>
    <i>
      <x v="135"/>
      <x v="91"/>
      <x/>
      <x v="43"/>
    </i>
    <i>
      <x v="136"/>
      <x v="17"/>
      <x v="1"/>
      <x v="5"/>
    </i>
    <i>
      <x v="137"/>
      <x v="18"/>
      <x v="1"/>
      <x v="5"/>
    </i>
    <i>
      <x v="138"/>
      <x v="100"/>
      <x/>
      <x v="43"/>
    </i>
    <i>
      <x v="139"/>
      <x v="84"/>
      <x/>
      <x v="43"/>
    </i>
    <i>
      <x v="140"/>
      <x v="81"/>
      <x/>
      <x v="43"/>
    </i>
    <i>
      <x v="141"/>
      <x v="80"/>
      <x/>
      <x v="43"/>
    </i>
    <i>
      <x v="142"/>
      <x v="85"/>
      <x v="1"/>
      <x v="15"/>
    </i>
    <i>
      <x v="143"/>
      <x v="83"/>
      <x/>
      <x v="43"/>
    </i>
    <i>
      <x v="144"/>
      <x v="146"/>
      <x/>
      <x v="43"/>
    </i>
    <i>
      <x v="145"/>
      <x v="203"/>
      <x v="1"/>
      <x v="18"/>
    </i>
    <i>
      <x v="146"/>
      <x v="229"/>
      <x v="1"/>
      <x v="18"/>
    </i>
    <i>
      <x v="147"/>
      <x v="32"/>
      <x/>
      <x v="43"/>
    </i>
    <i>
      <x v="148"/>
      <x v="53"/>
      <x v="1"/>
      <x v="1"/>
    </i>
    <i>
      <x v="149"/>
      <x v="54"/>
      <x/>
      <x v="3"/>
    </i>
    <i>
      <x v="150"/>
      <x v="260"/>
      <x/>
      <x v="43"/>
    </i>
    <i>
      <x v="151"/>
      <x v="245"/>
      <x v="1"/>
      <x v="40"/>
    </i>
    <i>
      <x v="152"/>
      <x v="244"/>
      <x/>
      <x v="39"/>
    </i>
    <i>
      <x v="153"/>
      <x v="198"/>
      <x/>
      <x v="14"/>
    </i>
    <i>
      <x v="154"/>
      <x v="192"/>
      <x/>
      <x v="43"/>
    </i>
    <i>
      <x v="155"/>
      <x v="240"/>
      <x/>
      <x v="43"/>
    </i>
    <i>
      <x v="156"/>
      <x v="170"/>
      <x/>
      <x v="14"/>
    </i>
    <i>
      <x v="157"/>
      <x v="248"/>
      <x v="1"/>
      <x v="39"/>
    </i>
    <i>
      <x v="158"/>
      <x v="193"/>
      <x v="1"/>
      <x v="4"/>
    </i>
    <i>
      <x v="159"/>
      <x v="226"/>
      <x v="1"/>
      <x v="4"/>
    </i>
    <i>
      <x v="160"/>
      <x v="204"/>
      <x/>
      <x v="4"/>
    </i>
    <i>
      <x v="161"/>
      <x v="145"/>
      <x/>
      <x v="18"/>
    </i>
    <i>
      <x v="162"/>
      <x v="219"/>
      <x v="1"/>
      <x v="28"/>
    </i>
    <i>
      <x v="163"/>
      <x v="223"/>
      <x v="1"/>
      <x v="30"/>
    </i>
    <i>
      <x v="164"/>
      <x v="48"/>
      <x v="1"/>
      <x v="16"/>
    </i>
    <i>
      <x v="165"/>
      <x v="253"/>
      <x v="1"/>
      <x v="42"/>
    </i>
    <i>
      <x v="166"/>
      <x v="14"/>
      <x/>
      <x v="5"/>
    </i>
    <i>
      <x v="167"/>
      <x v="58"/>
      <x v="1"/>
      <x v="43"/>
    </i>
    <i>
      <x v="168"/>
      <x v="125"/>
      <x/>
      <x v="43"/>
    </i>
    <i>
      <x v="169"/>
      <x v="191"/>
      <x v="1"/>
      <x v="26"/>
    </i>
    <i>
      <x v="170"/>
      <x v="188"/>
      <x v="1"/>
      <x v="7"/>
    </i>
    <i>
      <x v="171"/>
      <x v="220"/>
      <x v="1"/>
      <x v="33"/>
    </i>
    <i>
      <x v="172"/>
      <x v="190"/>
      <x v="1"/>
      <x v="7"/>
    </i>
    <i>
      <x v="173"/>
      <x v="207"/>
      <x/>
      <x v="43"/>
    </i>
    <i>
      <x v="174"/>
      <x v="189"/>
      <x/>
      <x v="43"/>
    </i>
    <i>
      <x v="175"/>
      <x v="208"/>
      <x/>
      <x v="4"/>
    </i>
    <i>
      <x v="176"/>
      <x v="197"/>
      <x/>
      <x v="43"/>
    </i>
    <i>
      <x v="177"/>
      <x v="194"/>
      <x v="1"/>
      <x v="7"/>
    </i>
    <i>
      <x v="178"/>
      <x v="246"/>
      <x v="1"/>
      <x v="39"/>
    </i>
    <i>
      <x v="179"/>
      <x v="171"/>
      <x/>
      <x v="14"/>
    </i>
    <i>
      <x v="180"/>
      <x v="174"/>
      <x/>
      <x v="43"/>
    </i>
    <i>
      <x v="181"/>
      <x v="126"/>
      <x/>
      <x v="43"/>
    </i>
    <i>
      <x v="182"/>
      <x v="159"/>
      <x v="1"/>
      <x v="18"/>
    </i>
    <i>
      <x v="183"/>
      <x v="230"/>
      <x v="1"/>
      <x v="35"/>
    </i>
    <i>
      <x v="184"/>
      <x v="199"/>
      <x v="1"/>
      <x v="11"/>
    </i>
    <i>
      <x v="185"/>
      <x v="211"/>
      <x/>
      <x v="43"/>
    </i>
    <i>
      <x v="186"/>
      <x v="221"/>
      <x v="1"/>
      <x v="31"/>
    </i>
    <i>
      <x v="187"/>
      <x v="264"/>
      <x/>
      <x v="43"/>
    </i>
    <i>
      <x v="188"/>
      <x v="283"/>
      <x/>
      <x v="50"/>
    </i>
    <i>
      <x v="189"/>
      <x v="256"/>
      <x/>
      <x v="43"/>
    </i>
    <i>
      <x v="190"/>
      <x v="257"/>
      <x/>
      <x v="43"/>
    </i>
    <i>
      <x v="191"/>
      <x v="255"/>
      <x/>
      <x v="43"/>
    </i>
    <i>
      <x v="192"/>
      <x v="21"/>
      <x v="1"/>
      <x v="8"/>
    </i>
    <i>
      <x v="193"/>
      <x v="51"/>
      <x v="1"/>
      <x v="6"/>
    </i>
    <i>
      <x v="194"/>
      <x v="97"/>
      <x v="1"/>
      <x v="22"/>
    </i>
    <i>
      <x v="195"/>
      <x v="77"/>
      <x/>
      <x v="10"/>
    </i>
    <i>
      <x v="196"/>
      <x v="209"/>
      <x v="1"/>
      <x v="19"/>
    </i>
    <i>
      <x v="197"/>
      <x v="75"/>
      <x v="1"/>
      <x v="10"/>
    </i>
    <i>
      <x v="198"/>
      <x v="185"/>
      <x/>
      <x v="22"/>
    </i>
    <i>
      <x v="199"/>
      <x v="30"/>
      <x v="1"/>
      <x v="12"/>
    </i>
    <i>
      <x v="200"/>
      <x v="130"/>
      <x v="1"/>
      <x v="9"/>
    </i>
    <i>
      <x v="201"/>
      <x v="31"/>
      <x/>
      <x v="43"/>
    </i>
    <i>
      <x v="202"/>
      <x v="235"/>
      <x v="1"/>
      <x v="35"/>
    </i>
    <i>
      <x v="203"/>
      <x v="238"/>
      <x v="1"/>
      <x v="35"/>
    </i>
    <i>
      <x v="204"/>
      <x v="78"/>
      <x/>
      <x v="15"/>
    </i>
    <i>
      <x v="205"/>
      <x v="79"/>
      <x/>
      <x v="43"/>
    </i>
    <i>
      <x v="206"/>
      <x v="120"/>
      <x v="1"/>
      <x v="11"/>
    </i>
    <i>
      <x v="207"/>
      <x v="56"/>
      <x/>
      <x v="5"/>
    </i>
    <i>
      <x v="208"/>
      <x v="1"/>
      <x v="1"/>
      <x v="1"/>
    </i>
    <i>
      <x v="209"/>
      <x v="69"/>
      <x v="1"/>
      <x v="15"/>
    </i>
    <i>
      <x v="210"/>
      <x v="133"/>
      <x v="1"/>
      <x v="17"/>
    </i>
    <i>
      <x v="211"/>
      <x v="117"/>
      <x v="1"/>
      <x v="11"/>
    </i>
    <i>
      <x v="212"/>
      <x v="113"/>
      <x v="1"/>
      <x v="2"/>
    </i>
    <i>
      <x v="213"/>
      <x v="282"/>
      <x v="1"/>
      <x v="38"/>
    </i>
    <i>
      <x v="214"/>
      <x v="242"/>
      <x v="1"/>
      <x v="38"/>
    </i>
    <i>
      <x v="215"/>
      <x v="175"/>
      <x v="1"/>
      <x v="14"/>
    </i>
    <i>
      <x v="216"/>
      <x v="96"/>
      <x/>
      <x v="43"/>
    </i>
    <i>
      <x v="217"/>
      <x v="160"/>
      <x v="1"/>
      <x v="18"/>
    </i>
    <i>
      <x v="218"/>
      <x v="62"/>
      <x/>
      <x v="43"/>
    </i>
    <i>
      <x v="219"/>
      <x v="132"/>
      <x v="1"/>
      <x v="6"/>
    </i>
    <i>
      <x v="220"/>
      <x v="29"/>
      <x v="1"/>
      <x v="2"/>
    </i>
    <i>
      <x v="221"/>
      <x v="22"/>
      <x v="1"/>
      <x v="1"/>
    </i>
    <i>
      <x v="222"/>
      <x v="27"/>
      <x v="1"/>
      <x v="1"/>
    </i>
    <i>
      <x v="223"/>
      <x v="23"/>
      <x v="1"/>
      <x v="9"/>
    </i>
    <i>
      <x v="224"/>
      <x v="150"/>
      <x v="1"/>
      <x v="18"/>
    </i>
    <i>
      <x v="225"/>
      <x v="44"/>
      <x v="1"/>
      <x v="2"/>
    </i>
    <i>
      <x v="226"/>
      <x v="102"/>
      <x/>
      <x v="43"/>
    </i>
    <i>
      <x v="227"/>
      <x v="151"/>
      <x v="1"/>
      <x v="18"/>
    </i>
    <i>
      <x v="228"/>
      <x v="236"/>
      <x v="1"/>
      <x v="35"/>
    </i>
    <i>
      <x v="229"/>
      <x v="98"/>
      <x/>
      <x v="43"/>
    </i>
    <i>
      <x v="230"/>
      <x v="232"/>
      <x/>
      <x v="36"/>
    </i>
    <i>
      <x v="231"/>
      <x v="233"/>
      <x v="1"/>
      <x v="36"/>
    </i>
    <i>
      <x v="232"/>
      <x v="216"/>
      <x v="1"/>
      <x v="14"/>
    </i>
    <i>
      <x v="233"/>
      <x v="70"/>
      <x v="1"/>
      <x v="15"/>
    </i>
    <i>
      <x v="234"/>
      <x v="275"/>
      <x v="1"/>
      <x v="45"/>
    </i>
    <i>
      <x v="235"/>
      <x v="250"/>
      <x v="1"/>
      <x v="42"/>
    </i>
    <i>
      <x v="236"/>
      <x v="252"/>
      <x v="1"/>
      <x v="42"/>
    </i>
    <i>
      <x v="237"/>
      <x v="5"/>
      <x v="1"/>
      <x v="3"/>
    </i>
    <i>
      <x v="238"/>
      <x v="6"/>
      <x v="1"/>
      <x v="8"/>
    </i>
    <i>
      <x v="239"/>
      <x v="38"/>
      <x v="1"/>
      <x v="6"/>
    </i>
    <i>
      <x v="240"/>
      <x v="64"/>
      <x v="1"/>
      <x v="2"/>
    </i>
    <i>
      <x v="241"/>
      <x v="65"/>
      <x v="1"/>
      <x v="2"/>
    </i>
    <i>
      <x v="242"/>
      <x v="254"/>
      <x/>
      <x v="43"/>
    </i>
    <i>
      <x v="243"/>
      <x v="8"/>
      <x v="1"/>
      <x v="2"/>
    </i>
    <i>
      <x v="244"/>
      <x v="184"/>
      <x/>
      <x v="43"/>
    </i>
    <i>
      <x v="245"/>
      <x v="76"/>
      <x v="1"/>
      <x v="13"/>
    </i>
    <i>
      <x v="246"/>
      <x v="187"/>
      <x/>
      <x v="43"/>
    </i>
    <i>
      <x v="247"/>
      <x v="265"/>
      <x/>
      <x v="43"/>
    </i>
    <i>
      <x v="248"/>
      <x v="172"/>
      <x v="1"/>
      <x v="43"/>
    </i>
    <i>
      <x v="249"/>
      <x v="52"/>
      <x v="1"/>
      <x v="12"/>
    </i>
    <i>
      <x v="250"/>
      <x v="279"/>
      <x v="1"/>
      <x v="48"/>
    </i>
    <i>
      <x v="251"/>
      <x v="281"/>
      <x v="1"/>
      <x v="48"/>
    </i>
    <i>
      <x v="252"/>
      <x v="280"/>
      <x v="1"/>
      <x v="48"/>
    </i>
    <i>
      <x v="253"/>
      <x v="278"/>
      <x v="1"/>
      <x v="48"/>
    </i>
    <i>
      <x v="254"/>
      <x v="104"/>
      <x/>
      <x v="43"/>
    </i>
    <i>
      <x v="255"/>
      <x v="57"/>
      <x/>
      <x v="43"/>
    </i>
    <i>
      <x v="256"/>
      <x/>
      <x v="1"/>
      <x v="1"/>
    </i>
    <i>
      <x v="257"/>
      <x v="20"/>
      <x v="1"/>
      <x v="11"/>
    </i>
    <i>
      <x v="258"/>
      <x v="3"/>
      <x v="1"/>
      <x v="3"/>
    </i>
    <i>
      <x v="259"/>
      <x v="2"/>
      <x v="1"/>
      <x v="2"/>
    </i>
    <i>
      <x v="260"/>
      <x v="4"/>
      <x v="1"/>
      <x v="5"/>
    </i>
    <i>
      <x v="261"/>
      <x v="251"/>
      <x/>
      <x v="42"/>
    </i>
    <i>
      <x v="262"/>
      <x v="34"/>
      <x v="1"/>
      <x v="6"/>
    </i>
    <i>
      <x v="263"/>
      <x v="215"/>
      <x/>
      <x v="43"/>
    </i>
    <i>
      <x v="264"/>
      <x v="95"/>
      <x/>
      <x v="43"/>
    </i>
    <i>
      <x v="265"/>
      <x v="176"/>
      <x/>
      <x v="43"/>
    </i>
    <i>
      <x v="266"/>
      <x v="72"/>
      <x v="1"/>
      <x v="43"/>
    </i>
    <i>
      <x v="267"/>
      <x v="247"/>
      <x/>
      <x v="40"/>
    </i>
    <i>
      <x v="268"/>
      <x v="35"/>
      <x v="1"/>
      <x v="6"/>
    </i>
    <i>
      <x v="269"/>
      <x v="33"/>
      <x/>
      <x v="6"/>
    </i>
    <i>
      <x v="270"/>
      <x v="239"/>
      <x/>
      <x v="38"/>
    </i>
    <i>
      <x v="271"/>
      <x v="153"/>
      <x/>
      <x v="18"/>
    </i>
    <i>
      <x v="272"/>
      <x v="152"/>
      <x v="1"/>
      <x v="18"/>
    </i>
    <i>
      <x v="273"/>
      <x v="269"/>
      <x/>
      <x v="43"/>
    </i>
    <i>
      <x v="274"/>
      <x v="109"/>
      <x v="1"/>
      <x v="1"/>
    </i>
    <i>
      <x v="275"/>
      <x v="41"/>
      <x/>
      <x v="43"/>
    </i>
    <i>
      <x v="276"/>
      <x v="143"/>
      <x/>
      <x v="43"/>
    </i>
    <i>
      <x v="277"/>
      <x v="19"/>
      <x/>
      <x v="11"/>
    </i>
    <i>
      <x v="278"/>
      <x v="50"/>
      <x v="1"/>
      <x v="15"/>
    </i>
    <i>
      <x v="279"/>
      <x v="99"/>
      <x v="1"/>
      <x v="15"/>
    </i>
    <i>
      <x v="280"/>
      <x v="105"/>
      <x/>
      <x v="6"/>
    </i>
    <i>
      <x v="281"/>
      <x v="168"/>
      <x/>
      <x v="43"/>
    </i>
    <i>
      <x v="282"/>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4" cacheId="1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90" firstHeaderRow="1" firstDataRow="1" firstDataCol="1" rowPageCount="1" colPageCount="1"/>
  <pivotFields count="32">
    <pivotField axis="axisPage" multipleItemSelectionAllowed="1" showAll="0">
      <items count="3">
        <item h="1" x="1"/>
        <item x="0"/>
        <item t="default"/>
      </items>
    </pivotField>
    <pivotField showAll="0"/>
    <pivotField showAll="0"/>
    <pivotField showAll="0"/>
    <pivotField showAll="0"/>
    <pivotField axis="axisRow" showAll="0" sortType="descending">
      <items count="24">
        <item x="5"/>
        <item x="4"/>
        <item x="1"/>
        <item x="21"/>
        <item x="16"/>
        <item x="15"/>
        <item x="13"/>
        <item x="17"/>
        <item x="7"/>
        <item x="14"/>
        <item x="10"/>
        <item x="11"/>
        <item x="6"/>
        <item x="12"/>
        <item x="0"/>
        <item x="3"/>
        <item x="18"/>
        <item x="9"/>
        <item x="8"/>
        <item x="19"/>
        <item x="2"/>
        <item x="22"/>
        <item x="2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84">
        <item x="14"/>
        <item x="147"/>
        <item x="138"/>
        <item x="48"/>
        <item x="145"/>
        <item x="155"/>
        <item x="34"/>
        <item x="163"/>
        <item x="43"/>
        <item x="45"/>
        <item x="57"/>
        <item x="58"/>
        <item x="73"/>
        <item x="139"/>
        <item x="80"/>
        <item x="81"/>
        <item x="82"/>
        <item x="109"/>
        <item x="122"/>
        <item x="83"/>
        <item x="106"/>
        <item x="84"/>
        <item x="41"/>
        <item x="85"/>
        <item x="140"/>
        <item x="119"/>
        <item x="86"/>
        <item x="87"/>
        <item x="226"/>
        <item x="230"/>
        <item x="91"/>
        <item x="27"/>
        <item x="111"/>
        <item x="132"/>
        <item x="160"/>
        <item x="93"/>
        <item x="136"/>
        <item x="97"/>
        <item x="186"/>
        <item x="194"/>
        <item x="42"/>
        <item x="118"/>
        <item x="50"/>
        <item x="173"/>
        <item x="95"/>
        <item x="192"/>
        <item x="15"/>
        <item x="16"/>
        <item x="117"/>
        <item x="98"/>
        <item x="167"/>
        <item x="171"/>
        <item x="196"/>
        <item x="174"/>
        <item x="176"/>
        <item x="10"/>
        <item x="76"/>
        <item x="103"/>
        <item x="104"/>
        <item x="44"/>
        <item x="121"/>
        <item x="131"/>
        <item x="107"/>
        <item x="12"/>
        <item x="11"/>
        <item x="165"/>
        <item x="150"/>
        <item x="137"/>
        <item x="47"/>
        <item x="70"/>
        <item x="68"/>
        <item x="69"/>
        <item x="108"/>
        <item x="110"/>
        <item x="113"/>
        <item x="26"/>
        <item x="115"/>
        <item x="63"/>
        <item x="30"/>
        <item x="28"/>
        <item x="39"/>
        <item x="38"/>
        <item x="183"/>
        <item x="188"/>
        <item x="13"/>
        <item x="61"/>
        <item x="7"/>
        <item x="114"/>
        <item x="127"/>
        <item x="62"/>
        <item x="166"/>
        <item x="125"/>
        <item x="195"/>
        <item x="124"/>
        <item x="193"/>
        <item x="126"/>
        <item x="128"/>
        <item x="129"/>
        <item x="96"/>
        <item x="224"/>
        <item x="65"/>
        <item x="130"/>
        <item x="141"/>
        <item x="142"/>
        <item x="143"/>
        <item x="144"/>
        <item x="146"/>
        <item x="148"/>
        <item x="149"/>
        <item x="17"/>
        <item x="18"/>
        <item x="151"/>
        <item x="156"/>
        <item x="157"/>
        <item x="158"/>
        <item x="88"/>
        <item x="159"/>
        <item x="164"/>
        <item x="179"/>
        <item x="55"/>
        <item x="169"/>
        <item x="101"/>
        <item x="90"/>
        <item x="177"/>
        <item x="178"/>
        <item x="92"/>
        <item x="237"/>
        <item x="184"/>
        <item x="180"/>
        <item x="232"/>
        <item x="236"/>
        <item x="49"/>
        <item x="181"/>
        <item x="60"/>
        <item x="182"/>
        <item x="89"/>
        <item x="35"/>
        <item x="233"/>
        <item x="56"/>
        <item x="206"/>
        <item x="54"/>
        <item x="221"/>
        <item x="99"/>
        <item x="94"/>
        <item x="187"/>
        <item x="189"/>
        <item x="191"/>
        <item x="161"/>
        <item x="170"/>
        <item x="225"/>
        <item x="234"/>
        <item x="23"/>
        <item x="52"/>
        <item x="100"/>
        <item x="208"/>
        <item x="222"/>
        <item x="77"/>
        <item x="214"/>
        <item x="32"/>
        <item x="133"/>
        <item x="223"/>
        <item x="227"/>
        <item x="123"/>
        <item x="228"/>
        <item x="1"/>
        <item x="71"/>
        <item x="135"/>
        <item x="120"/>
        <item x="175"/>
        <item x="229"/>
        <item x="162"/>
        <item x="64"/>
        <item x="134"/>
        <item x="31"/>
        <item x="24"/>
        <item x="29"/>
        <item x="25"/>
        <item x="152"/>
        <item x="46"/>
        <item x="231"/>
        <item x="153"/>
        <item x="235"/>
        <item x="190"/>
        <item x="72"/>
        <item x="5"/>
        <item x="6"/>
        <item x="40"/>
        <item x="66"/>
        <item x="67"/>
        <item x="8"/>
        <item x="243"/>
        <item x="79"/>
        <item x="244"/>
        <item x="172"/>
        <item x="53"/>
        <item x="260"/>
        <item x="59"/>
        <item x="0"/>
        <item x="3"/>
        <item x="2"/>
        <item x="4"/>
        <item x="36"/>
        <item x="266"/>
        <item x="267"/>
        <item x="268"/>
        <item x="74"/>
        <item x="37"/>
        <item x="269"/>
        <item x="270"/>
        <item x="154"/>
        <item x="112"/>
        <item x="272"/>
        <item x="273"/>
        <item x="19"/>
        <item x="51"/>
        <item x="102"/>
        <item x="275"/>
        <item x="185"/>
        <item x="197"/>
        <item x="198"/>
        <item x="168"/>
        <item x="220"/>
        <item x="105"/>
        <item x="116"/>
        <item x="21"/>
        <item x="274"/>
        <item x="199"/>
        <item x="238"/>
        <item x="200"/>
        <item x="201"/>
        <item x="202"/>
        <item x="203"/>
        <item x="204"/>
        <item x="205"/>
        <item x="239"/>
        <item x="207"/>
        <item x="240"/>
        <item x="245"/>
        <item x="246"/>
        <item x="247"/>
        <item x="241"/>
        <item x="242"/>
        <item x="248"/>
        <item x="249"/>
        <item x="33"/>
        <item x="213"/>
        <item x="265"/>
        <item x="215"/>
        <item x="216"/>
        <item x="250"/>
        <item x="251"/>
        <item x="252"/>
        <item x="253"/>
        <item x="254"/>
        <item x="255"/>
        <item x="256"/>
        <item x="257"/>
        <item x="258"/>
        <item x="259"/>
        <item x="261"/>
        <item x="262"/>
        <item x="263"/>
        <item x="264"/>
        <item x="271"/>
        <item x="276"/>
        <item x="277"/>
        <item x="278"/>
        <item x="279"/>
        <item x="280"/>
        <item x="217"/>
        <item x="218"/>
        <item x="219"/>
        <item x="282"/>
        <item x="210"/>
        <item x="211"/>
        <item x="212"/>
        <item x="209"/>
        <item x="9"/>
        <item x="20"/>
        <item x="75"/>
        <item x="78"/>
        <item x="22"/>
        <item x="281"/>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s>
  <rowFields count="2">
    <field x="5"/>
    <field x="11"/>
  </rowFields>
  <rowItems count="186">
    <i>
      <x v="20"/>
    </i>
    <i r="1">
      <x v="17"/>
    </i>
    <i r="1">
      <x v="31"/>
    </i>
    <i r="1">
      <x v="32"/>
    </i>
    <i r="1">
      <x v="43"/>
    </i>
    <i r="1">
      <x v="75"/>
    </i>
    <i r="1">
      <x v="76"/>
    </i>
    <i r="1">
      <x v="78"/>
    </i>
    <i r="1">
      <x v="79"/>
    </i>
    <i r="1">
      <x v="80"/>
    </i>
    <i r="1">
      <x v="81"/>
    </i>
    <i r="1">
      <x v="158"/>
    </i>
    <i r="1">
      <x v="172"/>
    </i>
    <i r="1">
      <x v="173"/>
    </i>
    <i r="1">
      <x v="174"/>
    </i>
    <i r="1">
      <x v="175"/>
    </i>
    <i r="1">
      <x v="176"/>
    </i>
    <i r="1">
      <x v="186"/>
    </i>
    <i r="1">
      <x v="201"/>
    </i>
    <i r="1">
      <x v="206"/>
    </i>
    <i r="1">
      <x v="210"/>
    </i>
    <i r="1">
      <x v="223"/>
    </i>
    <i r="1">
      <x v="269"/>
    </i>
    <i r="1">
      <x v="270"/>
    </i>
    <i>
      <x v="12"/>
    </i>
    <i r="1">
      <x v="25"/>
    </i>
    <i r="1">
      <x v="36"/>
    </i>
    <i r="1">
      <x v="41"/>
    </i>
    <i r="1">
      <x v="48"/>
    </i>
    <i r="1">
      <x v="50"/>
    </i>
    <i r="1">
      <x v="69"/>
    </i>
    <i r="1">
      <x v="70"/>
    </i>
    <i r="1">
      <x v="71"/>
    </i>
    <i r="1">
      <x v="85"/>
    </i>
    <i r="1">
      <x v="119"/>
    </i>
    <i r="1">
      <x v="133"/>
    </i>
    <i r="1">
      <x v="162"/>
    </i>
    <i r="1">
      <x v="165"/>
    </i>
    <i r="1">
      <x v="167"/>
    </i>
    <i r="1">
      <x v="183"/>
    </i>
    <i>
      <x v="8"/>
    </i>
    <i r="1">
      <x v="18"/>
    </i>
    <i r="1">
      <x v="36"/>
    </i>
    <i r="1">
      <x v="60"/>
    </i>
    <i r="1">
      <x v="82"/>
    </i>
    <i r="1">
      <x v="83"/>
    </i>
    <i r="1">
      <x v="91"/>
    </i>
    <i r="1">
      <x v="92"/>
    </i>
    <i r="1">
      <x v="93"/>
    </i>
    <i r="1">
      <x v="94"/>
    </i>
    <i r="1">
      <x v="95"/>
    </i>
    <i r="1">
      <x v="100"/>
    </i>
    <i>
      <x/>
    </i>
    <i r="1">
      <x v="3"/>
    </i>
    <i r="1">
      <x v="7"/>
    </i>
    <i r="1">
      <x v="36"/>
    </i>
    <i r="1">
      <x v="42"/>
    </i>
    <i r="1">
      <x v="68"/>
    </i>
    <i r="1">
      <x v="131"/>
    </i>
    <i r="1">
      <x v="152"/>
    </i>
    <i r="1">
      <x v="170"/>
    </i>
    <i r="1">
      <x v="178"/>
    </i>
    <i r="1">
      <x v="194"/>
    </i>
    <i r="1">
      <x v="214"/>
    </i>
    <i>
      <x v="14"/>
    </i>
    <i r="1">
      <x v="46"/>
    </i>
    <i r="1">
      <x v="47"/>
    </i>
    <i r="1">
      <x v="55"/>
    </i>
    <i r="1">
      <x v="63"/>
    </i>
    <i r="1">
      <x v="64"/>
    </i>
    <i r="1">
      <x v="84"/>
    </i>
    <i r="1">
      <x v="86"/>
    </i>
    <i r="1">
      <x v="109"/>
    </i>
    <i r="1">
      <x v="110"/>
    </i>
    <i r="1">
      <x v="151"/>
    </i>
    <i r="1">
      <x v="164"/>
    </i>
    <i r="1">
      <x v="166"/>
    </i>
    <i r="1">
      <x v="184"/>
    </i>
    <i r="1">
      <x v="185"/>
    </i>
    <i r="1">
      <x v="189"/>
    </i>
    <i r="1">
      <x v="197"/>
    </i>
    <i r="1">
      <x v="198"/>
    </i>
    <i r="1">
      <x v="199"/>
    </i>
    <i r="1">
      <x v="200"/>
    </i>
    <i r="1">
      <x v="224"/>
    </i>
    <i r="1">
      <x v="277"/>
    </i>
    <i r="1">
      <x v="278"/>
    </i>
    <i>
      <x v="6"/>
    </i>
    <i r="1">
      <x v="53"/>
    </i>
    <i r="1">
      <x v="54"/>
    </i>
    <i r="1">
      <x v="118"/>
    </i>
    <i r="1">
      <x v="125"/>
    </i>
    <i r="1">
      <x v="126"/>
    </i>
    <i r="1">
      <x v="143"/>
    </i>
    <i r="1">
      <x v="217"/>
    </i>
    <i r="1">
      <x v="234"/>
    </i>
    <i r="1">
      <x v="236"/>
    </i>
    <i r="1">
      <x v="239"/>
    </i>
    <i r="1">
      <x v="243"/>
    </i>
    <i r="1">
      <x v="266"/>
    </i>
    <i r="1">
      <x v="267"/>
    </i>
    <i r="1">
      <x v="282"/>
    </i>
    <i>
      <x v="2"/>
    </i>
    <i r="1">
      <x v="2"/>
    </i>
    <i r="1">
      <x v="4"/>
    </i>
    <i r="1">
      <x v="5"/>
    </i>
    <i r="1">
      <x v="13"/>
    </i>
    <i r="1">
      <x v="20"/>
    </i>
    <i r="1">
      <x v="24"/>
    </i>
    <i r="1">
      <x v="33"/>
    </i>
    <i r="1">
      <x v="34"/>
    </i>
    <i r="1">
      <x v="39"/>
    </i>
    <i r="1">
      <x v="66"/>
    </i>
    <i r="1">
      <x v="67"/>
    </i>
    <i r="1">
      <x v="115"/>
    </i>
    <i r="1">
      <x v="147"/>
    </i>
    <i r="1">
      <x v="153"/>
    </i>
    <i r="1">
      <x v="177"/>
    </i>
    <i r="1">
      <x v="180"/>
    </i>
    <i r="1">
      <x v="209"/>
    </i>
    <i r="1">
      <x v="215"/>
    </i>
    <i r="1">
      <x v="245"/>
    </i>
    <i r="1">
      <x v="247"/>
    </i>
    <i r="1">
      <x v="248"/>
    </i>
    <i r="1">
      <x v="271"/>
    </i>
    <i>
      <x v="18"/>
    </i>
    <i r="1">
      <x v="61"/>
    </i>
    <i r="1">
      <x v="187"/>
    </i>
    <i r="1">
      <x v="188"/>
    </i>
    <i>
      <x v="1"/>
    </i>
    <i r="1">
      <x v="22"/>
    </i>
    <i r="1">
      <x v="40"/>
    </i>
    <i r="1">
      <x v="65"/>
    </i>
    <i r="1">
      <x v="168"/>
    </i>
    <i r="1">
      <x v="182"/>
    </i>
    <i>
      <x v="15"/>
    </i>
    <i r="1">
      <x v="135"/>
    </i>
    <i r="1">
      <x v="136"/>
    </i>
    <i r="1">
      <x v="137"/>
    </i>
    <i r="1">
      <x v="138"/>
    </i>
    <i r="1">
      <x v="150"/>
    </i>
    <i r="1">
      <x v="238"/>
    </i>
    <i>
      <x v="22"/>
    </i>
    <i r="1">
      <x v="273"/>
    </i>
    <i r="1">
      <x v="274"/>
    </i>
    <i r="1">
      <x v="275"/>
    </i>
    <i r="1">
      <x v="276"/>
    </i>
    <i>
      <x v="13"/>
    </i>
    <i r="1">
      <x v="38"/>
    </i>
    <i r="1">
      <x v="129"/>
    </i>
    <i r="1">
      <x v="130"/>
    </i>
    <i r="1">
      <x v="268"/>
    </i>
    <i>
      <x v="16"/>
    </i>
    <i r="1">
      <x v="148"/>
    </i>
    <i r="1">
      <x v="240"/>
    </i>
    <i r="1">
      <x v="253"/>
    </i>
    <i r="1">
      <x v="272"/>
    </i>
    <i>
      <x v="19"/>
    </i>
    <i r="1">
      <x v="193"/>
    </i>
    <i r="1">
      <x v="231"/>
    </i>
    <i r="1">
      <x v="232"/>
    </i>
    <i>
      <x v="3"/>
    </i>
    <i r="1">
      <x v="155"/>
    </i>
    <i r="1">
      <x v="227"/>
    </i>
    <i>
      <x v="9"/>
    </i>
    <i r="1">
      <x v="98"/>
    </i>
    <i r="1">
      <x v="99"/>
    </i>
    <i r="1">
      <x v="241"/>
    </i>
    <i>
      <x v="17"/>
    </i>
    <i r="1">
      <x v="45"/>
    </i>
    <i r="1">
      <x v="205"/>
    </i>
    <i r="1">
      <x v="226"/>
    </i>
    <i>
      <x v="11"/>
    </i>
    <i r="1">
      <x v="159"/>
    </i>
    <i r="1">
      <x v="191"/>
    </i>
    <i r="1">
      <x v="218"/>
    </i>
    <i r="1">
      <x v="219"/>
    </i>
    <i>
      <x v="10"/>
    </i>
    <i r="1">
      <x v="56"/>
    </i>
    <i r="1">
      <x v="156"/>
    </i>
    <i r="1">
      <x v="229"/>
    </i>
    <i r="1">
      <x v="230"/>
    </i>
    <i r="1">
      <x v="279"/>
    </i>
    <i>
      <x v="21"/>
    </i>
    <i r="1">
      <x v="265"/>
    </i>
    <i t="grand">
      <x/>
    </i>
  </rowItems>
  <colItems count="1">
    <i/>
  </colItems>
  <pageFields count="1">
    <pageField fld="0" hier="-1"/>
  </pageFields>
  <dataFields count="1">
    <dataField name="Sum of HH" fld="16" baseField="5" baseItem="20" numFmtId="165"/>
  </dataFields>
  <formats count="10">
    <format dxfId="564">
      <pivotArea outline="0" collapsedLevelsAreSubtotals="1" fieldPosition="0">
        <references count="1">
          <reference field="4294967294" count="1" selected="0">
            <x v="0"/>
          </reference>
        </references>
      </pivotArea>
    </format>
    <format dxfId="563">
      <pivotArea dataOnly="0" labelOnly="1" fieldPosition="0">
        <references count="1">
          <reference field="11" count="16">
            <x v="3"/>
            <x v="30"/>
            <x v="40"/>
            <x v="48"/>
            <x v="60"/>
            <x v="85"/>
            <x v="92"/>
            <x v="93"/>
            <x v="94"/>
            <x v="119"/>
            <x v="150"/>
            <x v="167"/>
            <x v="172"/>
            <x v="178"/>
            <x v="209"/>
            <x v="210"/>
          </reference>
        </references>
      </pivotArea>
    </format>
    <format dxfId="562">
      <pivotArea type="all" dataOnly="0" outline="0" fieldPosition="0"/>
    </format>
    <format dxfId="561">
      <pivotArea outline="0" collapsedLevelsAreSubtotals="1" fieldPosition="0">
        <references count="1">
          <reference field="4294967294" count="1" selected="0">
            <x v="0"/>
          </reference>
        </references>
      </pivotArea>
    </format>
    <format dxfId="560">
      <pivotArea dataOnly="0" labelOnly="1" outline="0" fieldPosition="0">
        <references count="1">
          <reference field="4294967294" count="1">
            <x v="0"/>
          </reference>
        </references>
      </pivotArea>
    </format>
    <format dxfId="559">
      <pivotArea outline="0" collapsedLevelsAreSubtotals="1" fieldPosition="0">
        <references count="1">
          <reference field="4294967294" count="1" selected="0">
            <x v="0"/>
          </reference>
        </references>
      </pivotArea>
    </format>
    <format dxfId="558">
      <pivotArea field="0" type="button" dataOnly="0" labelOnly="1" outline="0" axis="axisPage" fieldPosition="0"/>
    </format>
    <format dxfId="557">
      <pivotArea dataOnly="0" labelOnly="1" outline="0" fieldPosition="0">
        <references count="1">
          <reference field="0" count="0"/>
        </references>
      </pivotArea>
    </format>
    <format dxfId="556">
      <pivotArea dataOnly="0" labelOnly="1" grandRow="1" outline="0" fieldPosition="0"/>
    </format>
    <format dxfId="55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5">
      <pivotArea outline="0" collapsedLevelsAreSubtotals="1" fieldPosition="0"/>
    </format>
    <format dxfId="874">
      <pivotArea dataOnly="0" labelOnly="1" outline="0" axis="axisValues" fieldPosition="0"/>
    </format>
    <format dxfId="873">
      <pivotArea field="20" type="button" dataOnly="0" labelOnly="1" outline="0" axis="axisPage" fieldPosition="0"/>
    </format>
    <format dxfId="872">
      <pivotArea dataOnly="0" labelOnly="1" outline="0" fieldPosition="0">
        <references count="1">
          <reference field="20" count="0"/>
        </references>
      </pivotArea>
    </format>
    <format dxfId="87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0">
      <pivotArea dataOnly="0" labelOnly="1" outline="0" fieldPosition="0">
        <references count="1">
          <reference field="4" count="1">
            <x v="0"/>
          </reference>
        </references>
      </pivotArea>
    </format>
    <format dxfId="869">
      <pivotArea dataOnly="0" labelOnly="1" outline="0" fieldPosition="0">
        <references count="2">
          <reference field="4" count="1" selected="0">
            <x v="0"/>
          </reference>
          <reference field="19" count="10">
            <x v="36"/>
            <x v="37"/>
            <x v="38"/>
            <x v="39"/>
            <x v="40"/>
            <x v="41"/>
            <x v="42"/>
            <x v="92"/>
            <x v="110"/>
            <x v="113"/>
          </reference>
        </references>
      </pivotArea>
    </format>
    <format dxfId="868">
      <pivotArea dataOnly="0" labelOnly="1" outline="0" fieldPosition="0">
        <references count="3">
          <reference field="4" count="1" selected="0">
            <x v="0"/>
          </reference>
          <reference field="5" count="1">
            <x v="83"/>
          </reference>
          <reference field="19" count="1" selected="0">
            <x v="36"/>
          </reference>
        </references>
      </pivotArea>
    </format>
    <format dxfId="867">
      <pivotArea dataOnly="0" labelOnly="1" outline="0" fieldPosition="0">
        <references count="3">
          <reference field="4" count="1" selected="0">
            <x v="0"/>
          </reference>
          <reference field="5" count="1">
            <x v="30"/>
          </reference>
          <reference field="19" count="1" selected="0">
            <x v="37"/>
          </reference>
        </references>
      </pivotArea>
    </format>
    <format dxfId="866">
      <pivotArea dataOnly="0" labelOnly="1" outline="0" fieldPosition="0">
        <references count="3">
          <reference field="4" count="1" selected="0">
            <x v="0"/>
          </reference>
          <reference field="5" count="1">
            <x v="1"/>
          </reference>
          <reference field="19" count="1" selected="0">
            <x v="38"/>
          </reference>
        </references>
      </pivotArea>
    </format>
    <format dxfId="865">
      <pivotArea dataOnly="0" labelOnly="1" outline="0" fieldPosition="0">
        <references count="3">
          <reference field="4" count="1" selected="0">
            <x v="0"/>
          </reference>
          <reference field="5" count="1">
            <x v="16"/>
          </reference>
          <reference field="19" count="1" selected="0">
            <x v="39"/>
          </reference>
        </references>
      </pivotArea>
    </format>
    <format dxfId="864">
      <pivotArea dataOnly="0" labelOnly="1" outline="0" fieldPosition="0">
        <references count="3">
          <reference field="4" count="1" selected="0">
            <x v="0"/>
          </reference>
          <reference field="5" count="1">
            <x v="105"/>
          </reference>
          <reference field="19" count="1" selected="0">
            <x v="40"/>
          </reference>
        </references>
      </pivotArea>
    </format>
    <format dxfId="863">
      <pivotArea dataOnly="0" labelOnly="1" outline="0" fieldPosition="0">
        <references count="3">
          <reference field="4" count="1" selected="0">
            <x v="0"/>
          </reference>
          <reference field="5" count="1">
            <x v="65"/>
          </reference>
          <reference field="19" count="1" selected="0">
            <x v="41"/>
          </reference>
        </references>
      </pivotArea>
    </format>
    <format dxfId="862">
      <pivotArea dataOnly="0" labelOnly="1" outline="0" fieldPosition="0">
        <references count="3">
          <reference field="4" count="1" selected="0">
            <x v="0"/>
          </reference>
          <reference field="5" count="1">
            <x v="93"/>
          </reference>
          <reference field="19" count="1" selected="0">
            <x v="42"/>
          </reference>
        </references>
      </pivotArea>
    </format>
    <format dxfId="861">
      <pivotArea dataOnly="0" labelOnly="1" outline="0" fieldPosition="0">
        <references count="3">
          <reference field="4" count="1" selected="0">
            <x v="0"/>
          </reference>
          <reference field="5" count="1">
            <x v="76"/>
          </reference>
          <reference field="19" count="1" selected="0">
            <x v="92"/>
          </reference>
        </references>
      </pivotArea>
    </format>
    <format dxfId="860">
      <pivotArea dataOnly="0" labelOnly="1" outline="0" fieldPosition="0">
        <references count="3">
          <reference field="4" count="1" selected="0">
            <x v="0"/>
          </reference>
          <reference field="5" count="1">
            <x v="111"/>
          </reference>
          <reference field="19" count="1" selected="0">
            <x v="110"/>
          </reference>
        </references>
      </pivotArea>
    </format>
    <format dxfId="859">
      <pivotArea dataOnly="0" labelOnly="1" outline="0" fieldPosition="0">
        <references count="3">
          <reference field="4" count="1" selected="0">
            <x v="0"/>
          </reference>
          <reference field="5" count="1">
            <x v="114"/>
          </reference>
          <reference field="19" count="1" selected="0">
            <x v="113"/>
          </reference>
        </references>
      </pivotArea>
    </format>
    <format dxfId="85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7">
      <pivotArea dataOnly="0" labelOnly="1" outline="0" fieldPosition="0">
        <references count="1">
          <reference field="4" count="1">
            <x v="1"/>
          </reference>
        </references>
      </pivotArea>
    </format>
    <format dxfId="856">
      <pivotArea dataOnly="0" labelOnly="1" outline="0" fieldPosition="0">
        <references count="2">
          <reference field="4" count="1" selected="0">
            <x v="1"/>
          </reference>
          <reference field="19" count="3">
            <x v="35"/>
            <x v="93"/>
            <x v="115"/>
          </reference>
        </references>
      </pivotArea>
    </format>
    <format dxfId="855">
      <pivotArea dataOnly="0" labelOnly="1" outline="0" fieldPosition="0">
        <references count="3">
          <reference field="4" count="1" selected="0">
            <x v="1"/>
          </reference>
          <reference field="5" count="1">
            <x v="6"/>
          </reference>
          <reference field="19" count="1" selected="0">
            <x v="35"/>
          </reference>
        </references>
      </pivotArea>
    </format>
    <format dxfId="854">
      <pivotArea dataOnly="0" labelOnly="1" outline="0" fieldPosition="0">
        <references count="3">
          <reference field="4" count="1" selected="0">
            <x v="1"/>
          </reference>
          <reference field="5" count="1">
            <x v="28"/>
          </reference>
          <reference field="19" count="1" selected="0">
            <x v="93"/>
          </reference>
        </references>
      </pivotArea>
    </format>
    <format dxfId="853">
      <pivotArea dataOnly="0" labelOnly="1" outline="0" fieldPosition="0">
        <references count="3">
          <reference field="4" count="1" selected="0">
            <x v="1"/>
          </reference>
          <reference field="5" count="1">
            <x v="117"/>
          </reference>
          <reference field="19" count="1" selected="0">
            <x v="115"/>
          </reference>
        </references>
      </pivotArea>
    </format>
    <format dxfId="85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1">
      <pivotArea dataOnly="0" labelOnly="1" outline="0" fieldPosition="0">
        <references count="1">
          <reference field="4" count="1">
            <x v="2"/>
          </reference>
        </references>
      </pivotArea>
    </format>
    <format dxfId="85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9">
      <pivotArea dataOnly="0" labelOnly="1" outline="0" fieldPosition="0">
        <references count="3">
          <reference field="4" count="1" selected="0">
            <x v="2"/>
          </reference>
          <reference field="5" count="2">
            <x v="102"/>
            <x v="116"/>
          </reference>
          <reference field="19" count="1" selected="0">
            <x v="0"/>
          </reference>
        </references>
      </pivotArea>
    </format>
    <format dxfId="848">
      <pivotArea dataOnly="0" labelOnly="1" outline="0" fieldPosition="0">
        <references count="3">
          <reference field="4" count="1" selected="0">
            <x v="2"/>
          </reference>
          <reference field="5" count="1">
            <x v="53"/>
          </reference>
          <reference field="19" count="1" selected="0">
            <x v="61"/>
          </reference>
        </references>
      </pivotArea>
    </format>
    <format dxfId="847">
      <pivotArea dataOnly="0" labelOnly="1" outline="0" fieldPosition="0">
        <references count="3">
          <reference field="4" count="1" selected="0">
            <x v="2"/>
          </reference>
          <reference field="5" count="1">
            <x v="66"/>
          </reference>
          <reference field="19" count="1" selected="0">
            <x v="63"/>
          </reference>
        </references>
      </pivotArea>
    </format>
    <format dxfId="846">
      <pivotArea dataOnly="0" labelOnly="1" outline="0" fieldPosition="0">
        <references count="3">
          <reference field="4" count="1" selected="0">
            <x v="2"/>
          </reference>
          <reference field="5" count="1">
            <x v="106"/>
          </reference>
          <reference field="19" count="1" selected="0">
            <x v="64"/>
          </reference>
        </references>
      </pivotArea>
    </format>
    <format dxfId="845">
      <pivotArea dataOnly="0" labelOnly="1" outline="0" fieldPosition="0">
        <references count="3">
          <reference field="4" count="1" selected="0">
            <x v="2"/>
          </reference>
          <reference field="5" count="1">
            <x v="5"/>
          </reference>
          <reference field="19" count="1" selected="0">
            <x v="65"/>
          </reference>
        </references>
      </pivotArea>
    </format>
    <format dxfId="844">
      <pivotArea dataOnly="0" labelOnly="1" outline="0" fieldPosition="0">
        <references count="3">
          <reference field="4" count="1" selected="0">
            <x v="2"/>
          </reference>
          <reference field="5" count="1">
            <x v="3"/>
          </reference>
          <reference field="19" count="1" selected="0">
            <x v="82"/>
          </reference>
        </references>
      </pivotArea>
    </format>
    <format dxfId="843">
      <pivotArea dataOnly="0" labelOnly="1" outline="0" fieldPosition="0">
        <references count="3">
          <reference field="4" count="1" selected="0">
            <x v="2"/>
          </reference>
          <reference field="5" count="1">
            <x v="7"/>
          </reference>
          <reference field="19" count="1" selected="0">
            <x v="83"/>
          </reference>
        </references>
      </pivotArea>
    </format>
    <format dxfId="842">
      <pivotArea dataOnly="0" labelOnly="1" outline="0" fieldPosition="0">
        <references count="3">
          <reference field="4" count="1" selected="0">
            <x v="2"/>
          </reference>
          <reference field="5" count="1">
            <x v="2"/>
          </reference>
          <reference field="19" count="1" selected="0">
            <x v="84"/>
          </reference>
        </references>
      </pivotArea>
    </format>
    <format dxfId="841">
      <pivotArea dataOnly="0" labelOnly="1" outline="0" fieldPosition="0">
        <references count="3">
          <reference field="4" count="1" selected="0">
            <x v="2"/>
          </reference>
          <reference field="5" count="1">
            <x v="0"/>
          </reference>
          <reference field="19" count="1" selected="0">
            <x v="85"/>
          </reference>
        </references>
      </pivotArea>
    </format>
    <format dxfId="840">
      <pivotArea dataOnly="0" labelOnly="1" outline="0" fieldPosition="0">
        <references count="3">
          <reference field="4" count="1" selected="0">
            <x v="2"/>
          </reference>
          <reference field="5" count="1">
            <x v="29"/>
          </reference>
          <reference field="19" count="1" selected="0">
            <x v="86"/>
          </reference>
        </references>
      </pivotArea>
    </format>
    <format dxfId="839">
      <pivotArea dataOnly="0" labelOnly="1" outline="0" fieldPosition="0">
        <references count="3">
          <reference field="4" count="1" selected="0">
            <x v="2"/>
          </reference>
          <reference field="5" count="1">
            <x v="82"/>
          </reference>
          <reference field="19" count="1" selected="0">
            <x v="87"/>
          </reference>
        </references>
      </pivotArea>
    </format>
    <format dxfId="838">
      <pivotArea dataOnly="0" labelOnly="1" outline="0" fieldPosition="0">
        <references count="3">
          <reference field="4" count="1" selected="0">
            <x v="2"/>
          </reference>
          <reference field="5" count="1">
            <x v="85"/>
          </reference>
          <reference field="19" count="1" selected="0">
            <x v="88"/>
          </reference>
        </references>
      </pivotArea>
    </format>
    <format dxfId="837">
      <pivotArea dataOnly="0" labelOnly="1" outline="0" fieldPosition="0">
        <references count="3">
          <reference field="4" count="1" selected="0">
            <x v="2"/>
          </reference>
          <reference field="5" count="1">
            <x v="101"/>
          </reference>
          <reference field="19" count="1" selected="0">
            <x v="89"/>
          </reference>
        </references>
      </pivotArea>
    </format>
    <format dxfId="836">
      <pivotArea dataOnly="0" labelOnly="1" outline="0" fieldPosition="0">
        <references count="3">
          <reference field="4" count="1" selected="0">
            <x v="2"/>
          </reference>
          <reference field="5" count="1">
            <x v="13"/>
          </reference>
          <reference field="19" count="1" selected="0">
            <x v="90"/>
          </reference>
        </references>
      </pivotArea>
    </format>
    <format dxfId="835">
      <pivotArea dataOnly="0" labelOnly="1" outline="0" fieldPosition="0">
        <references count="3">
          <reference field="4" count="1" selected="0">
            <x v="2"/>
          </reference>
          <reference field="5" count="1">
            <x v="62"/>
          </reference>
          <reference field="19" count="1" selected="0">
            <x v="91"/>
          </reference>
        </references>
      </pivotArea>
    </format>
    <format dxfId="834">
      <pivotArea dataOnly="0" labelOnly="1" outline="0" fieldPosition="0">
        <references count="3">
          <reference field="4" count="1" selected="0">
            <x v="2"/>
          </reference>
          <reference field="5" count="1">
            <x v="113"/>
          </reference>
          <reference field="19" count="1" selected="0">
            <x v="112"/>
          </reference>
        </references>
      </pivotArea>
    </format>
    <format dxfId="833">
      <pivotArea dataOnly="0" labelOnly="1" outline="0" fieldPosition="0">
        <references count="3">
          <reference field="4" count="1" selected="0">
            <x v="2"/>
          </reference>
          <reference field="5" count="1">
            <x v="121"/>
          </reference>
          <reference field="19" count="1" selected="0">
            <x v="119"/>
          </reference>
        </references>
      </pivotArea>
    </format>
    <format dxfId="832">
      <pivotArea dataOnly="0" labelOnly="1" outline="0" fieldPosition="0">
        <references count="3">
          <reference field="4" count="1" selected="0">
            <x v="2"/>
          </reference>
          <reference field="5" count="1">
            <x v="122"/>
          </reference>
          <reference field="19" count="1" selected="0">
            <x v="120"/>
          </reference>
        </references>
      </pivotArea>
    </format>
    <format dxfId="83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0">
      <pivotArea dataOnly="0" labelOnly="1" outline="0" fieldPosition="0">
        <references count="1">
          <reference field="4" count="1">
            <x v="3"/>
          </reference>
        </references>
      </pivotArea>
    </format>
    <format dxfId="829">
      <pivotArea dataOnly="0" labelOnly="1" outline="0" fieldPosition="0">
        <references count="2">
          <reference field="4" count="1" selected="0">
            <x v="3"/>
          </reference>
          <reference field="19" count="7">
            <x v="100"/>
            <x v="104"/>
            <x v="105"/>
            <x v="117"/>
            <x v="122"/>
            <x v="127"/>
            <x v="128"/>
          </reference>
        </references>
      </pivotArea>
    </format>
    <format dxfId="828">
      <pivotArea dataOnly="0" labelOnly="1" outline="0" fieldPosition="0">
        <references count="3">
          <reference field="4" count="1" selected="0">
            <x v="3"/>
          </reference>
          <reference field="5" count="1">
            <x v="60"/>
          </reference>
          <reference field="19" count="1" selected="0">
            <x v="100"/>
          </reference>
        </references>
      </pivotArea>
    </format>
    <format dxfId="827">
      <pivotArea dataOnly="0" labelOnly="1" outline="0" fieldPosition="0">
        <references count="3">
          <reference field="4" count="1" selected="0">
            <x v="3"/>
          </reference>
          <reference field="5" count="1">
            <x v="20"/>
          </reference>
          <reference field="19" count="1" selected="0">
            <x v="104"/>
          </reference>
        </references>
      </pivotArea>
    </format>
    <format dxfId="826">
      <pivotArea dataOnly="0" labelOnly="1" outline="0" fieldPosition="0">
        <references count="3">
          <reference field="4" count="1" selected="0">
            <x v="3"/>
          </reference>
          <reference field="5" count="1">
            <x v="21"/>
          </reference>
          <reference field="19" count="1" selected="0">
            <x v="105"/>
          </reference>
        </references>
      </pivotArea>
    </format>
    <format dxfId="825">
      <pivotArea dataOnly="0" labelOnly="1" outline="0" fieldPosition="0">
        <references count="3">
          <reference field="4" count="1" selected="0">
            <x v="3"/>
          </reference>
          <reference field="5" count="1">
            <x v="119"/>
          </reference>
          <reference field="19" count="1" selected="0">
            <x v="117"/>
          </reference>
        </references>
      </pivotArea>
    </format>
    <format dxfId="824">
      <pivotArea dataOnly="0" labelOnly="1" outline="0" fieldPosition="0">
        <references count="3">
          <reference field="4" count="1" selected="0">
            <x v="3"/>
          </reference>
          <reference field="5" count="1">
            <x v="124"/>
          </reference>
          <reference field="19" count="1" selected="0">
            <x v="122"/>
          </reference>
        </references>
      </pivotArea>
    </format>
    <format dxfId="823">
      <pivotArea dataOnly="0" labelOnly="1" outline="0" fieldPosition="0">
        <references count="3">
          <reference field="4" count="1" selected="0">
            <x v="3"/>
          </reference>
          <reference field="5" count="1">
            <x v="129"/>
          </reference>
          <reference field="19" count="1" selected="0">
            <x v="127"/>
          </reference>
        </references>
      </pivotArea>
    </format>
    <format dxfId="822">
      <pivotArea dataOnly="0" labelOnly="1" outline="0" fieldPosition="0">
        <references count="3">
          <reference field="4" count="1" selected="0">
            <x v="3"/>
          </reference>
          <reference field="5" count="1">
            <x v="133"/>
          </reference>
          <reference field="19" count="1" selected="0">
            <x v="128"/>
          </reference>
        </references>
      </pivotArea>
    </format>
    <format dxfId="82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0">
      <pivotArea dataOnly="0" labelOnly="1" outline="0" fieldPosition="0">
        <references count="1">
          <reference field="4" count="1">
            <x v="4"/>
          </reference>
        </references>
      </pivotArea>
    </format>
    <format dxfId="819">
      <pivotArea dataOnly="0" labelOnly="1" outline="0" fieldPosition="0">
        <references count="2">
          <reference field="4" count="1" selected="0">
            <x v="4"/>
          </reference>
          <reference field="19" count="9">
            <x v="48"/>
            <x v="74"/>
            <x v="76"/>
            <x v="77"/>
            <x v="78"/>
            <x v="106"/>
            <x v="108"/>
            <x v="116"/>
            <x v="118"/>
          </reference>
        </references>
      </pivotArea>
    </format>
    <format dxfId="818">
      <pivotArea dataOnly="0" labelOnly="1" outline="0" fieldPosition="0">
        <references count="3">
          <reference field="4" count="1" selected="0">
            <x v="4"/>
          </reference>
          <reference field="5" count="1">
            <x v="49"/>
          </reference>
          <reference field="19" count="1" selected="0">
            <x v="48"/>
          </reference>
        </references>
      </pivotArea>
    </format>
    <format dxfId="817">
      <pivotArea dataOnly="0" labelOnly="1" outline="0" fieldPosition="0">
        <references count="3">
          <reference field="4" count="1" selected="0">
            <x v="4"/>
          </reference>
          <reference field="5" count="1">
            <x v="25"/>
          </reference>
          <reference field="19" count="1" selected="0">
            <x v="74"/>
          </reference>
        </references>
      </pivotArea>
    </format>
    <format dxfId="816">
      <pivotArea dataOnly="0" labelOnly="1" outline="0" fieldPosition="0">
        <references count="3">
          <reference field="4" count="1" selected="0">
            <x v="4"/>
          </reference>
          <reference field="5" count="1">
            <x v="45"/>
          </reference>
          <reference field="19" count="1" selected="0">
            <x v="76"/>
          </reference>
        </references>
      </pivotArea>
    </format>
    <format dxfId="815">
      <pivotArea dataOnly="0" labelOnly="1" outline="0" fieldPosition="0">
        <references count="3">
          <reference field="4" count="1" selected="0">
            <x v="4"/>
          </reference>
          <reference field="5" count="1">
            <x v="44"/>
          </reference>
          <reference field="19" count="1" selected="0">
            <x v="77"/>
          </reference>
        </references>
      </pivotArea>
    </format>
    <format dxfId="814">
      <pivotArea dataOnly="0" labelOnly="1" outline="0" fieldPosition="0">
        <references count="3">
          <reference field="4" count="1" selected="0">
            <x v="4"/>
          </reference>
          <reference field="5" count="1">
            <x v="34"/>
          </reference>
          <reference field="19" count="1" selected="0">
            <x v="78"/>
          </reference>
        </references>
      </pivotArea>
    </format>
    <format dxfId="813">
      <pivotArea dataOnly="0" labelOnly="1" outline="0" fieldPosition="0">
        <references count="3">
          <reference field="4" count="1" selected="0">
            <x v="4"/>
          </reference>
          <reference field="5" count="1">
            <x v="107"/>
          </reference>
          <reference field="19" count="1" selected="0">
            <x v="106"/>
          </reference>
        </references>
      </pivotArea>
    </format>
    <format dxfId="812">
      <pivotArea dataOnly="0" labelOnly="1" outline="0" fieldPosition="0">
        <references count="3">
          <reference field="4" count="1" selected="0">
            <x v="4"/>
          </reference>
          <reference field="5" count="1">
            <x v="109"/>
          </reference>
          <reference field="19" count="1" selected="0">
            <x v="108"/>
          </reference>
        </references>
      </pivotArea>
    </format>
    <format dxfId="811">
      <pivotArea dataOnly="0" labelOnly="1" outline="0" fieldPosition="0">
        <references count="3">
          <reference field="4" count="1" selected="0">
            <x v="4"/>
          </reference>
          <reference field="5" count="1">
            <x v="118"/>
          </reference>
          <reference field="19" count="1" selected="0">
            <x v="116"/>
          </reference>
        </references>
      </pivotArea>
    </format>
    <format dxfId="810">
      <pivotArea dataOnly="0" labelOnly="1" outline="0" fieldPosition="0">
        <references count="3">
          <reference field="4" count="1" selected="0">
            <x v="4"/>
          </reference>
          <reference field="5" count="1">
            <x v="120"/>
          </reference>
          <reference field="19" count="1" selected="0">
            <x v="118"/>
          </reference>
        </references>
      </pivotArea>
    </format>
    <format dxfId="80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8">
      <pivotArea dataOnly="0" labelOnly="1" outline="0" fieldPosition="0">
        <references count="1">
          <reference field="4" count="1">
            <x v="5"/>
          </reference>
        </references>
      </pivotArea>
    </format>
    <format dxfId="807">
      <pivotArea dataOnly="0" labelOnly="1" outline="0" fieldPosition="0">
        <references count="2">
          <reference field="4" count="1" selected="0">
            <x v="5"/>
          </reference>
          <reference field="19" count="3">
            <x v="101"/>
            <x v="102"/>
            <x v="132"/>
          </reference>
        </references>
      </pivotArea>
    </format>
    <format dxfId="806">
      <pivotArea dataOnly="0" labelOnly="1" outline="0" fieldPosition="0">
        <references count="3">
          <reference field="4" count="1" selected="0">
            <x v="5"/>
          </reference>
          <reference field="5" count="1">
            <x v="47"/>
          </reference>
          <reference field="19" count="1" selected="0">
            <x v="101"/>
          </reference>
        </references>
      </pivotArea>
    </format>
    <format dxfId="805">
      <pivotArea dataOnly="0" labelOnly="1" outline="0" fieldPosition="0">
        <references count="3">
          <reference field="4" count="1" selected="0">
            <x v="5"/>
          </reference>
          <reference field="5" count="1">
            <x v="14"/>
          </reference>
          <reference field="19" count="1" selected="0">
            <x v="102"/>
          </reference>
        </references>
      </pivotArea>
    </format>
    <format dxfId="804">
      <pivotArea dataOnly="0" labelOnly="1" outline="0" fieldPosition="0">
        <references count="3">
          <reference field="4" count="1" selected="0">
            <x v="5"/>
          </reference>
          <reference field="5" count="1">
            <x v="134"/>
          </reference>
          <reference field="19" count="1" selected="0">
            <x v="132"/>
          </reference>
        </references>
      </pivotArea>
    </format>
    <format dxfId="80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2">
      <pivotArea dataOnly="0" labelOnly="1" outline="0" fieldPosition="0">
        <references count="1">
          <reference field="4" count="1">
            <x v="6"/>
          </reference>
        </references>
      </pivotArea>
    </format>
    <format dxfId="801">
      <pivotArea dataOnly="0" labelOnly="1" outline="0" fieldPosition="0">
        <references count="2">
          <reference field="4" count="1" selected="0">
            <x v="6"/>
          </reference>
          <reference field="19" count="3">
            <x v="56"/>
            <x v="57"/>
            <x v="58"/>
          </reference>
        </references>
      </pivotArea>
    </format>
    <format dxfId="800">
      <pivotArea dataOnly="0" labelOnly="1" outline="0" fieldPosition="0">
        <references count="3">
          <reference field="4" count="1" selected="0">
            <x v="6"/>
          </reference>
          <reference field="5" count="1">
            <x v="48"/>
          </reference>
          <reference field="19" count="1" selected="0">
            <x v="56"/>
          </reference>
        </references>
      </pivotArea>
    </format>
    <format dxfId="799">
      <pivotArea dataOnly="0" labelOnly="1" outline="0" fieldPosition="0">
        <references count="3">
          <reference field="4" count="1" selected="0">
            <x v="6"/>
          </reference>
          <reference field="5" count="1">
            <x v="23"/>
          </reference>
          <reference field="19" count="1" selected="0">
            <x v="57"/>
          </reference>
        </references>
      </pivotArea>
    </format>
    <format dxfId="798">
      <pivotArea dataOnly="0" labelOnly="1" outline="0" fieldPosition="0">
        <references count="3">
          <reference field="4" count="1" selected="0">
            <x v="6"/>
          </reference>
          <reference field="5" count="1">
            <x v="67"/>
          </reference>
          <reference field="19" count="1" selected="0">
            <x v="58"/>
          </reference>
        </references>
      </pivotArea>
    </format>
    <format dxfId="79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6">
      <pivotArea dataOnly="0" labelOnly="1" outline="0" fieldPosition="0">
        <references count="1">
          <reference field="4" count="1">
            <x v="7"/>
          </reference>
        </references>
      </pivotArea>
    </format>
    <format dxfId="795">
      <pivotArea dataOnly="0" labelOnly="1" outline="0" fieldPosition="0">
        <references count="2">
          <reference field="4" count="1" selected="0">
            <x v="7"/>
          </reference>
          <reference field="19" count="2">
            <x v="59"/>
            <x v="79"/>
          </reference>
        </references>
      </pivotArea>
    </format>
    <format dxfId="794">
      <pivotArea dataOnly="0" labelOnly="1" outline="0" fieldPosition="0">
        <references count="3">
          <reference field="4" count="1" selected="0">
            <x v="7"/>
          </reference>
          <reference field="5" count="1">
            <x v="92"/>
          </reference>
          <reference field="19" count="1" selected="0">
            <x v="59"/>
          </reference>
        </references>
      </pivotArea>
    </format>
    <format dxfId="793">
      <pivotArea dataOnly="0" labelOnly="1" outline="0" fieldPosition="0">
        <references count="3">
          <reference field="4" count="1" selected="0">
            <x v="7"/>
          </reference>
          <reference field="5" count="1">
            <x v="68"/>
          </reference>
          <reference field="19" count="1" selected="0">
            <x v="79"/>
          </reference>
        </references>
      </pivotArea>
    </format>
    <format dxfId="79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1">
      <pivotArea dataOnly="0" labelOnly="1" outline="0" fieldPosition="0">
        <references count="1">
          <reference field="4" count="1">
            <x v="8"/>
          </reference>
        </references>
      </pivotArea>
    </format>
    <format dxfId="79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9">
      <pivotArea dataOnly="0" labelOnly="1" outline="0" fieldPosition="0">
        <references count="3">
          <reference field="4" count="1" selected="0">
            <x v="8"/>
          </reference>
          <reference field="5" count="1">
            <x v="54"/>
          </reference>
          <reference field="19" count="1" selected="0">
            <x v="43"/>
          </reference>
        </references>
      </pivotArea>
    </format>
    <format dxfId="788">
      <pivotArea dataOnly="0" labelOnly="1" outline="0" fieldPosition="0">
        <references count="3">
          <reference field="4" count="1" selected="0">
            <x v="8"/>
          </reference>
          <reference field="5" count="1">
            <x v="46"/>
          </reference>
          <reference field="19" count="1" selected="0">
            <x v="45"/>
          </reference>
        </references>
      </pivotArea>
    </format>
    <format dxfId="787">
      <pivotArea dataOnly="0" labelOnly="1" outline="0" fieldPosition="0">
        <references count="3">
          <reference field="4" count="1" selected="0">
            <x v="8"/>
          </reference>
          <reference field="5" count="1">
            <x v="71"/>
          </reference>
          <reference field="19" count="1" selected="0">
            <x v="46"/>
          </reference>
        </references>
      </pivotArea>
    </format>
    <format dxfId="786">
      <pivotArea dataOnly="0" labelOnly="1" outline="0" fieldPosition="0">
        <references count="3">
          <reference field="4" count="1" selected="0">
            <x v="8"/>
          </reference>
          <reference field="5" count="1">
            <x v="42"/>
          </reference>
          <reference field="19" count="1" selected="0">
            <x v="47"/>
          </reference>
        </references>
      </pivotArea>
    </format>
    <format dxfId="785">
      <pivotArea dataOnly="0" labelOnly="1" outline="0" fieldPosition="0">
        <references count="3">
          <reference field="4" count="1" selected="0">
            <x v="8"/>
          </reference>
          <reference field="5" count="1">
            <x v="32"/>
          </reference>
          <reference field="19" count="1" selected="0">
            <x v="51"/>
          </reference>
        </references>
      </pivotArea>
    </format>
    <format dxfId="784">
      <pivotArea dataOnly="0" labelOnly="1" outline="0" fieldPosition="0">
        <references count="3">
          <reference field="4" count="1" selected="0">
            <x v="8"/>
          </reference>
          <reference field="5" count="1">
            <x v="33"/>
          </reference>
          <reference field="19" count="1" selected="0">
            <x v="52"/>
          </reference>
        </references>
      </pivotArea>
    </format>
    <format dxfId="783">
      <pivotArea dataOnly="0" labelOnly="1" outline="0" fieldPosition="0">
        <references count="3">
          <reference field="4" count="1" selected="0">
            <x v="8"/>
          </reference>
          <reference field="5" count="1">
            <x v="31"/>
          </reference>
          <reference field="19" count="1" selected="0">
            <x v="53"/>
          </reference>
        </references>
      </pivotArea>
    </format>
    <format dxfId="782">
      <pivotArea dataOnly="0" labelOnly="1" outline="0" fieldPosition="0">
        <references count="3">
          <reference field="4" count="1" selected="0">
            <x v="8"/>
          </reference>
          <reference field="5" count="1">
            <x v="73"/>
          </reference>
          <reference field="19" count="1" selected="0">
            <x v="54"/>
          </reference>
        </references>
      </pivotArea>
    </format>
    <format dxfId="781">
      <pivotArea dataOnly="0" labelOnly="1" outline="0" fieldPosition="0">
        <references count="3">
          <reference field="4" count="1" selected="0">
            <x v="8"/>
          </reference>
          <reference field="5" count="1">
            <x v="86"/>
          </reference>
          <reference field="19" count="1" selected="0">
            <x v="55"/>
          </reference>
        </references>
      </pivotArea>
    </format>
    <format dxfId="780">
      <pivotArea dataOnly="0" labelOnly="1" outline="0" fieldPosition="0">
        <references count="3">
          <reference field="4" count="1" selected="0">
            <x v="8"/>
          </reference>
          <reference field="5" count="1">
            <x v="19"/>
          </reference>
          <reference field="19" count="1" selected="0">
            <x v="70"/>
          </reference>
        </references>
      </pivotArea>
    </format>
    <format dxfId="779">
      <pivotArea dataOnly="0" labelOnly="1" outline="0" fieldPosition="0">
        <references count="3">
          <reference field="4" count="1" selected="0">
            <x v="8"/>
          </reference>
          <reference field="5" count="1">
            <x v="15"/>
          </reference>
          <reference field="19" count="1" selected="0">
            <x v="71"/>
          </reference>
        </references>
      </pivotArea>
    </format>
    <format dxfId="778">
      <pivotArea dataOnly="0" labelOnly="1" outline="0" fieldPosition="0">
        <references count="3">
          <reference field="4" count="1" selected="0">
            <x v="8"/>
          </reference>
          <reference field="5" count="1">
            <x v="10"/>
          </reference>
          <reference field="19" count="1" selected="0">
            <x v="72"/>
          </reference>
        </references>
      </pivotArea>
    </format>
    <format dxfId="777">
      <pivotArea dataOnly="0" labelOnly="1" outline="0" fieldPosition="0">
        <references count="3">
          <reference field="4" count="1" selected="0">
            <x v="8"/>
          </reference>
          <reference field="5" count="1">
            <x v="75"/>
          </reference>
          <reference field="19" count="1" selected="0">
            <x v="73"/>
          </reference>
        </references>
      </pivotArea>
    </format>
    <format dxfId="776">
      <pivotArea dataOnly="0" labelOnly="1" outline="0" fieldPosition="0">
        <references count="3">
          <reference field="4" count="1" selected="0">
            <x v="8"/>
          </reference>
          <reference field="5" count="1">
            <x v="70"/>
          </reference>
          <reference field="19" count="1" selected="0">
            <x v="75"/>
          </reference>
        </references>
      </pivotArea>
    </format>
    <format dxfId="775">
      <pivotArea dataOnly="0" labelOnly="1" outline="0" fieldPosition="0">
        <references count="3">
          <reference field="4" count="1" selected="0">
            <x v="8"/>
          </reference>
          <reference field="5" count="1">
            <x v="112"/>
          </reference>
          <reference field="19" count="1" selected="0">
            <x v="111"/>
          </reference>
        </references>
      </pivotArea>
    </format>
    <format dxfId="77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3">
      <pivotArea dataOnly="0" labelOnly="1" outline="0" fieldPosition="0">
        <references count="1">
          <reference field="4" count="1">
            <x v="9"/>
          </reference>
        </references>
      </pivotArea>
    </format>
    <format dxfId="772">
      <pivotArea dataOnly="0" labelOnly="1" outline="0" fieldPosition="0">
        <references count="2">
          <reference field="4" count="1" selected="0">
            <x v="9"/>
          </reference>
          <reference field="19" count="3">
            <x v="99"/>
            <x v="123"/>
            <x v="124"/>
          </reference>
        </references>
      </pivotArea>
    </format>
    <format dxfId="771">
      <pivotArea dataOnly="0" labelOnly="1" outline="0" fieldPosition="0">
        <references count="3">
          <reference field="4" count="1" selected="0">
            <x v="9"/>
          </reference>
          <reference field="5" count="1">
            <x v="56"/>
          </reference>
          <reference field="19" count="1" selected="0">
            <x v="99"/>
          </reference>
        </references>
      </pivotArea>
    </format>
    <format dxfId="770">
      <pivotArea dataOnly="0" labelOnly="1" outline="0" fieldPosition="0">
        <references count="3">
          <reference field="4" count="1" selected="0">
            <x v="9"/>
          </reference>
          <reference field="5" count="1">
            <x v="125"/>
          </reference>
          <reference field="19" count="1" selected="0">
            <x v="123"/>
          </reference>
        </references>
      </pivotArea>
    </format>
    <format dxfId="769">
      <pivotArea dataOnly="0" labelOnly="1" outline="0" fieldPosition="0">
        <references count="3">
          <reference field="4" count="1" selected="0">
            <x v="9"/>
          </reference>
          <reference field="5" count="1">
            <x v="126"/>
          </reference>
          <reference field="19" count="1" selected="0">
            <x v="124"/>
          </reference>
        </references>
      </pivotArea>
    </format>
    <format dxfId="76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7">
      <pivotArea dataOnly="0" labelOnly="1" outline="0" fieldPosition="0">
        <references count="1">
          <reference field="4" count="1">
            <x v="10"/>
          </reference>
        </references>
      </pivotArea>
    </format>
    <format dxfId="76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5">
      <pivotArea dataOnly="0" labelOnly="1" outline="0" fieldPosition="0">
        <references count="3">
          <reference field="4" count="1" selected="0">
            <x v="10"/>
          </reference>
          <reference field="5" count="2">
            <x v="84"/>
            <x v="116"/>
          </reference>
          <reference field="19" count="1" selected="0">
            <x v="0"/>
          </reference>
        </references>
      </pivotArea>
    </format>
    <format dxfId="764">
      <pivotArea dataOnly="0" labelOnly="1" outline="0" fieldPosition="0">
        <references count="3">
          <reference field="4" count="1" selected="0">
            <x v="10"/>
          </reference>
          <reference field="5" count="1">
            <x v="94"/>
          </reference>
          <reference field="19" count="1" selected="0">
            <x v="1"/>
          </reference>
        </references>
      </pivotArea>
    </format>
    <format dxfId="763">
      <pivotArea dataOnly="0" labelOnly="1" outline="0" fieldPosition="0">
        <references count="3">
          <reference field="4" count="1" selected="0">
            <x v="10"/>
          </reference>
          <reference field="5" count="1">
            <x v="72"/>
          </reference>
          <reference field="19" count="1" selected="0">
            <x v="2"/>
          </reference>
        </references>
      </pivotArea>
    </format>
    <format dxfId="762">
      <pivotArea dataOnly="0" labelOnly="1" outline="0" fieldPosition="0">
        <references count="3">
          <reference field="4" count="1" selected="0">
            <x v="10"/>
          </reference>
          <reference field="5" count="1">
            <x v="96"/>
          </reference>
          <reference field="19" count="1" selected="0">
            <x v="3"/>
          </reference>
        </references>
      </pivotArea>
    </format>
    <format dxfId="761">
      <pivotArea dataOnly="0" labelOnly="1" outline="0" fieldPosition="0">
        <references count="3">
          <reference field="4" count="1" selected="0">
            <x v="10"/>
          </reference>
          <reference field="5" count="1">
            <x v="95"/>
          </reference>
          <reference field="19" count="1" selected="0">
            <x v="4"/>
          </reference>
        </references>
      </pivotArea>
    </format>
    <format dxfId="760">
      <pivotArea dataOnly="0" labelOnly="1" outline="0" fieldPosition="0">
        <references count="3">
          <reference field="4" count="1" selected="0">
            <x v="10"/>
          </reference>
          <reference field="5" count="1">
            <x v="97"/>
          </reference>
          <reference field="19" count="1" selected="0">
            <x v="5"/>
          </reference>
        </references>
      </pivotArea>
    </format>
    <format dxfId="759">
      <pivotArea dataOnly="0" labelOnly="1" outline="0" fieldPosition="0">
        <references count="3">
          <reference field="4" count="1" selected="0">
            <x v="10"/>
          </reference>
          <reference field="5" count="1">
            <x v="87"/>
          </reference>
          <reference field="19" count="1" selected="0">
            <x v="6"/>
          </reference>
        </references>
      </pivotArea>
    </format>
    <format dxfId="758">
      <pivotArea dataOnly="0" labelOnly="1" outline="0" fieldPosition="0">
        <references count="3">
          <reference field="4" count="1" selected="0">
            <x v="10"/>
          </reference>
          <reference field="5" count="1">
            <x v="43"/>
          </reference>
          <reference field="19" count="1" selected="0">
            <x v="7"/>
          </reference>
        </references>
      </pivotArea>
    </format>
    <format dxfId="757">
      <pivotArea dataOnly="0" labelOnly="1" outline="0" fieldPosition="0">
        <references count="3">
          <reference field="4" count="1" selected="0">
            <x v="10"/>
          </reference>
          <reference field="5" count="1">
            <x v="91"/>
          </reference>
          <reference field="19" count="1" selected="0">
            <x v="8"/>
          </reference>
        </references>
      </pivotArea>
    </format>
    <format dxfId="756">
      <pivotArea dataOnly="0" labelOnly="1" outline="0" fieldPosition="0">
        <references count="3">
          <reference field="4" count="1" selected="0">
            <x v="10"/>
          </reference>
          <reference field="5" count="1">
            <x v="9"/>
          </reference>
          <reference field="19" count="1" selected="0">
            <x v="9"/>
          </reference>
        </references>
      </pivotArea>
    </format>
    <format dxfId="755">
      <pivotArea dataOnly="0" labelOnly="1" outline="0" fieldPosition="0">
        <references count="3">
          <reference field="4" count="1" selected="0">
            <x v="10"/>
          </reference>
          <reference field="5" count="1">
            <x v="8"/>
          </reference>
          <reference field="19" count="1" selected="0">
            <x v="10"/>
          </reference>
        </references>
      </pivotArea>
    </format>
    <format dxfId="754">
      <pivotArea dataOnly="0" labelOnly="1" outline="0" fieldPosition="0">
        <references count="3">
          <reference field="4" count="1" selected="0">
            <x v="10"/>
          </reference>
          <reference field="5" count="1">
            <x v="22"/>
          </reference>
          <reference field="19" count="1" selected="0">
            <x v="11"/>
          </reference>
        </references>
      </pivotArea>
    </format>
    <format dxfId="753">
      <pivotArea dataOnly="0" labelOnly="1" outline="0" fieldPosition="0">
        <references count="3">
          <reference field="4" count="1" selected="0">
            <x v="10"/>
          </reference>
          <reference field="5" count="1">
            <x v="27"/>
          </reference>
          <reference field="19" count="1" selected="0">
            <x v="12"/>
          </reference>
        </references>
      </pivotArea>
    </format>
    <format dxfId="752">
      <pivotArea dataOnly="0" labelOnly="1" outline="0" fieldPosition="0">
        <references count="3">
          <reference field="4" count="1" selected="0">
            <x v="10"/>
          </reference>
          <reference field="5" count="1">
            <x v="26"/>
          </reference>
          <reference field="19" count="1" selected="0">
            <x v="13"/>
          </reference>
        </references>
      </pivotArea>
    </format>
    <format dxfId="751">
      <pivotArea dataOnly="0" labelOnly="1" outline="0" fieldPosition="0">
        <references count="3">
          <reference field="4" count="1" selected="0">
            <x v="10"/>
          </reference>
          <reference field="5" count="1">
            <x v="41"/>
          </reference>
          <reference field="19" count="1" selected="0">
            <x v="14"/>
          </reference>
        </references>
      </pivotArea>
    </format>
    <format dxfId="750">
      <pivotArea dataOnly="0" labelOnly="1" outline="0" fieldPosition="0">
        <references count="3">
          <reference field="4" count="1" selected="0">
            <x v="10"/>
          </reference>
          <reference field="5" count="1">
            <x v="17"/>
          </reference>
          <reference field="19" count="1" selected="0">
            <x v="15"/>
          </reference>
        </references>
      </pivotArea>
    </format>
    <format dxfId="749">
      <pivotArea dataOnly="0" labelOnly="1" outline="0" fieldPosition="0">
        <references count="3">
          <reference field="4" count="1" selected="0">
            <x v="10"/>
          </reference>
          <reference field="5" count="1">
            <x v="18"/>
          </reference>
          <reference field="19" count="1" selected="0">
            <x v="16"/>
          </reference>
        </references>
      </pivotArea>
    </format>
    <format dxfId="748">
      <pivotArea dataOnly="0" labelOnly="1" outline="0" fieldPosition="0">
        <references count="3">
          <reference field="4" count="1" selected="0">
            <x v="10"/>
          </reference>
          <reference field="5" count="1">
            <x v="51"/>
          </reference>
          <reference field="19" count="1" selected="0">
            <x v="17"/>
          </reference>
        </references>
      </pivotArea>
    </format>
    <format dxfId="747">
      <pivotArea dataOnly="0" labelOnly="1" outline="0" fieldPosition="0">
        <references count="3">
          <reference field="4" count="1" selected="0">
            <x v="10"/>
          </reference>
          <reference field="5" count="1">
            <x v="52"/>
          </reference>
          <reference field="19" count="1" selected="0">
            <x v="18"/>
          </reference>
        </references>
      </pivotArea>
    </format>
    <format dxfId="746">
      <pivotArea dataOnly="0" labelOnly="1" outline="0" fieldPosition="0">
        <references count="3">
          <reference field="4" count="1" selected="0">
            <x v="10"/>
          </reference>
          <reference field="5" count="1">
            <x v="104"/>
          </reference>
          <reference field="19" count="1" selected="0">
            <x v="19"/>
          </reference>
        </references>
      </pivotArea>
    </format>
    <format dxfId="745">
      <pivotArea dataOnly="0" labelOnly="1" outline="0" fieldPosition="0">
        <references count="3">
          <reference field="4" count="1" selected="0">
            <x v="10"/>
          </reference>
          <reference field="5" count="1">
            <x v="64"/>
          </reference>
          <reference field="19" count="1" selected="0">
            <x v="20"/>
          </reference>
        </references>
      </pivotArea>
    </format>
    <format dxfId="744">
      <pivotArea dataOnly="0" labelOnly="1" outline="0" fieldPosition="0">
        <references count="3">
          <reference field="4" count="1" selected="0">
            <x v="10"/>
          </reference>
          <reference field="5" count="1">
            <x v="74"/>
          </reference>
          <reference field="19" count="1" selected="0">
            <x v="81"/>
          </reference>
        </references>
      </pivotArea>
    </format>
    <format dxfId="743">
      <pivotArea dataOnly="0" labelOnly="1" outline="0" fieldPosition="0">
        <references count="3">
          <reference field="4" count="1" selected="0">
            <x v="10"/>
          </reference>
          <reference field="5" count="1">
            <x v="131"/>
          </reference>
          <reference field="19" count="1" selected="0">
            <x v="130"/>
          </reference>
        </references>
      </pivotArea>
    </format>
    <format dxfId="74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1">
      <pivotArea dataOnly="0" labelOnly="1" outline="0" fieldPosition="0">
        <references count="1">
          <reference field="4" count="1">
            <x v="11"/>
          </reference>
        </references>
      </pivotArea>
    </format>
    <format dxfId="740">
      <pivotArea dataOnly="0" labelOnly="1" outline="0" fieldPosition="0">
        <references count="2">
          <reference field="4" count="1" selected="0">
            <x v="11"/>
          </reference>
          <reference field="19" count="4">
            <x v="97"/>
            <x v="98"/>
            <x v="125"/>
            <x v="126"/>
          </reference>
        </references>
      </pivotArea>
    </format>
    <format dxfId="739">
      <pivotArea dataOnly="0" labelOnly="1" outline="0" fieldPosition="0">
        <references count="3">
          <reference field="4" count="1" selected="0">
            <x v="11"/>
          </reference>
          <reference field="5" count="1">
            <x v="59"/>
          </reference>
          <reference field="19" count="1" selected="0">
            <x v="97"/>
          </reference>
        </references>
      </pivotArea>
    </format>
    <format dxfId="738">
      <pivotArea dataOnly="0" labelOnly="1" outline="0" fieldPosition="0">
        <references count="3">
          <reference field="4" count="1" selected="0">
            <x v="11"/>
          </reference>
          <reference field="5" count="1">
            <x v="58"/>
          </reference>
          <reference field="19" count="1" selected="0">
            <x v="98"/>
          </reference>
        </references>
      </pivotArea>
    </format>
    <format dxfId="737">
      <pivotArea dataOnly="0" labelOnly="1" outline="0" fieldPosition="0">
        <references count="3">
          <reference field="4" count="1" selected="0">
            <x v="11"/>
          </reference>
          <reference field="5" count="1">
            <x v="127"/>
          </reference>
          <reference field="19" count="1" selected="0">
            <x v="125"/>
          </reference>
        </references>
      </pivotArea>
    </format>
    <format dxfId="736">
      <pivotArea dataOnly="0" labelOnly="1" outline="0" fieldPosition="0">
        <references count="3">
          <reference field="4" count="1" selected="0">
            <x v="11"/>
          </reference>
          <reference field="5" count="1">
            <x v="128"/>
          </reference>
          <reference field="19" count="1" selected="0">
            <x v="126"/>
          </reference>
        </references>
      </pivotArea>
    </format>
    <format dxfId="735">
      <pivotArea outline="0" collapsedLevelsAreSubtotals="1" fieldPosition="0">
        <references count="3">
          <reference field="4" count="1" selected="0">
            <x v="12"/>
          </reference>
          <reference field="5" count="1" selected="0">
            <x v="63"/>
          </reference>
          <reference field="19" count="1" selected="0">
            <x v="103"/>
          </reference>
        </references>
      </pivotArea>
    </format>
    <format dxfId="734">
      <pivotArea dataOnly="0" labelOnly="1" outline="0" fieldPosition="0">
        <references count="1">
          <reference field="4" count="1">
            <x v="12"/>
          </reference>
        </references>
      </pivotArea>
    </format>
    <format dxfId="733">
      <pivotArea dataOnly="0" labelOnly="1" outline="0" fieldPosition="0">
        <references count="2">
          <reference field="4" count="1" selected="0">
            <x v="12"/>
          </reference>
          <reference field="19" count="1">
            <x v="103"/>
          </reference>
        </references>
      </pivotArea>
    </format>
    <format dxfId="732">
      <pivotArea dataOnly="0" labelOnly="1" outline="0" fieldPosition="0">
        <references count="3">
          <reference field="4" count="1" selected="0">
            <x v="12"/>
          </reference>
          <reference field="5" count="1">
            <x v="63"/>
          </reference>
          <reference field="19" count="1" selected="0">
            <x v="103"/>
          </reference>
        </references>
      </pivotArea>
    </format>
    <format dxfId="73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0">
      <pivotArea dataOnly="0" labelOnly="1" outline="0" fieldPosition="0">
        <references count="1">
          <reference field="4" count="1">
            <x v="13"/>
          </reference>
        </references>
      </pivotArea>
    </format>
    <format dxfId="729">
      <pivotArea dataOnly="0" labelOnly="1" outline="0" fieldPosition="0">
        <references count="2">
          <reference field="4" count="1" selected="0">
            <x v="13"/>
          </reference>
          <reference field="19" count="2">
            <x v="49"/>
            <x v="50"/>
          </reference>
        </references>
      </pivotArea>
    </format>
    <format dxfId="728">
      <pivotArea dataOnly="0" labelOnly="1" outline="0" fieldPosition="0">
        <references count="3">
          <reference field="4" count="1" selected="0">
            <x v="13"/>
          </reference>
          <reference field="5" count="1">
            <x v="89"/>
          </reference>
          <reference field="19" count="1" selected="0">
            <x v="49"/>
          </reference>
        </references>
      </pivotArea>
    </format>
    <format dxfId="727">
      <pivotArea dataOnly="0" labelOnly="1" outline="0" fieldPosition="0">
        <references count="3">
          <reference field="4" count="1" selected="0">
            <x v="13"/>
          </reference>
          <reference field="5" count="1">
            <x v="90"/>
          </reference>
          <reference field="19" count="1" selected="0">
            <x v="50"/>
          </reference>
        </references>
      </pivotArea>
    </format>
    <format dxfId="72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5">
      <pivotArea dataOnly="0" labelOnly="1" outline="0" fieldPosition="0">
        <references count="1">
          <reference field="4" count="1">
            <x v="14"/>
          </reference>
        </references>
      </pivotArea>
    </format>
    <format dxfId="72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3">
      <pivotArea dataOnly="0" labelOnly="1" outline="0" fieldPosition="0">
        <references count="3">
          <reference field="4" count="1" selected="0">
            <x v="14"/>
          </reference>
          <reference field="5" count="1">
            <x v="79"/>
          </reference>
          <reference field="19" count="1" selected="0">
            <x v="21"/>
          </reference>
        </references>
      </pivotArea>
    </format>
    <format dxfId="722">
      <pivotArea dataOnly="0" labelOnly="1" outline="0" fieldPosition="0">
        <references count="3">
          <reference field="4" count="1" selected="0">
            <x v="14"/>
          </reference>
          <reference field="5" count="1">
            <x v="81"/>
          </reference>
          <reference field="19" count="1" selected="0">
            <x v="22"/>
          </reference>
        </references>
      </pivotArea>
    </format>
    <format dxfId="721">
      <pivotArea dataOnly="0" labelOnly="1" outline="0" fieldPosition="0">
        <references count="3">
          <reference field="4" count="1" selected="0">
            <x v="14"/>
          </reference>
          <reference field="5" count="1">
            <x v="35"/>
          </reference>
          <reference field="19" count="1" selected="0">
            <x v="23"/>
          </reference>
        </references>
      </pivotArea>
    </format>
    <format dxfId="720">
      <pivotArea dataOnly="0" labelOnly="1" outline="0" fieldPosition="0">
        <references count="3">
          <reference field="4" count="1" selected="0">
            <x v="14"/>
          </reference>
          <reference field="5" count="1">
            <x v="11"/>
          </reference>
          <reference field="19" count="1" selected="0">
            <x v="24"/>
          </reference>
        </references>
      </pivotArea>
    </format>
    <format dxfId="719">
      <pivotArea dataOnly="0" labelOnly="1" outline="0" fieldPosition="0">
        <references count="3">
          <reference field="4" count="1" selected="0">
            <x v="14"/>
          </reference>
          <reference field="5" count="1">
            <x v="38"/>
          </reference>
          <reference field="19" count="1" selected="0">
            <x v="25"/>
          </reference>
        </references>
      </pivotArea>
    </format>
    <format dxfId="718">
      <pivotArea dataOnly="0" labelOnly="1" outline="0" fieldPosition="0">
        <references count="3">
          <reference field="4" count="1" selected="0">
            <x v="14"/>
          </reference>
          <reference field="5" count="1">
            <x v="80"/>
          </reference>
          <reference field="19" count="1" selected="0">
            <x v="26"/>
          </reference>
        </references>
      </pivotArea>
    </format>
    <format dxfId="717">
      <pivotArea dataOnly="0" labelOnly="1" outline="0" fieldPosition="0">
        <references count="3">
          <reference field="4" count="1" selected="0">
            <x v="14"/>
          </reference>
          <reference field="5" count="1">
            <x v="37"/>
          </reference>
          <reference field="19" count="1" selected="0">
            <x v="27"/>
          </reference>
        </references>
      </pivotArea>
    </format>
    <format dxfId="716">
      <pivotArea dataOnly="0" labelOnly="1" outline="0" fieldPosition="0">
        <references count="3">
          <reference field="4" count="1" selected="0">
            <x v="14"/>
          </reference>
          <reference field="5" count="1">
            <x v="78"/>
          </reference>
          <reference field="19" count="1" selected="0">
            <x v="28"/>
          </reference>
        </references>
      </pivotArea>
    </format>
    <format dxfId="715">
      <pivotArea dataOnly="0" labelOnly="1" outline="0" fieldPosition="0">
        <references count="3">
          <reference field="4" count="1" selected="0">
            <x v="14"/>
          </reference>
          <reference field="5" count="1">
            <x v="100"/>
          </reference>
          <reference field="19" count="1" selected="0">
            <x v="29"/>
          </reference>
        </references>
      </pivotArea>
    </format>
    <format dxfId="714">
      <pivotArea dataOnly="0" labelOnly="1" outline="0" fieldPosition="0">
        <references count="3">
          <reference field="4" count="1" selected="0">
            <x v="14"/>
          </reference>
          <reference field="5" count="1">
            <x v="98"/>
          </reference>
          <reference field="19" count="1" selected="0">
            <x v="30"/>
          </reference>
        </references>
      </pivotArea>
    </format>
    <format dxfId="713">
      <pivotArea dataOnly="0" labelOnly="1" outline="0" fieldPosition="0">
        <references count="3">
          <reference field="4" count="1" selected="0">
            <x v="14"/>
          </reference>
          <reference field="5" count="1">
            <x v="99"/>
          </reference>
          <reference field="19" count="1" selected="0">
            <x v="31"/>
          </reference>
        </references>
      </pivotArea>
    </format>
    <format dxfId="712">
      <pivotArea dataOnly="0" labelOnly="1" outline="0" fieldPosition="0">
        <references count="3">
          <reference field="4" count="1" selected="0">
            <x v="14"/>
          </reference>
          <reference field="5" count="1">
            <x v="40"/>
          </reference>
          <reference field="19" count="1" selected="0">
            <x v="32"/>
          </reference>
        </references>
      </pivotArea>
    </format>
    <format dxfId="711">
      <pivotArea dataOnly="0" labelOnly="1" outline="0" fieldPosition="0">
        <references count="3">
          <reference field="4" count="1" selected="0">
            <x v="14"/>
          </reference>
          <reference field="5" count="1">
            <x v="39"/>
          </reference>
          <reference field="19" count="1" selected="0">
            <x v="33"/>
          </reference>
        </references>
      </pivotArea>
    </format>
    <format dxfId="710">
      <pivotArea dataOnly="0" labelOnly="1" outline="0" fieldPosition="0">
        <references count="3">
          <reference field="4" count="1" selected="0">
            <x v="14"/>
          </reference>
          <reference field="5" count="1">
            <x v="88"/>
          </reference>
          <reference field="19" count="1" selected="0">
            <x v="34"/>
          </reference>
        </references>
      </pivotArea>
    </format>
    <format dxfId="709">
      <pivotArea dataOnly="0" labelOnly="1" outline="0" fieldPosition="0">
        <references count="3">
          <reference field="4" count="1" selected="0">
            <x v="14"/>
          </reference>
          <reference field="5" count="1">
            <x v="4"/>
          </reference>
          <reference field="19" count="1" selected="0">
            <x v="66"/>
          </reference>
        </references>
      </pivotArea>
    </format>
    <format dxfId="708">
      <pivotArea dataOnly="0" labelOnly="1" outline="0" fieldPosition="0">
        <references count="3">
          <reference field="4" count="1" selected="0">
            <x v="14"/>
          </reference>
          <reference field="5" count="1">
            <x v="12"/>
          </reference>
          <reference field="19" count="1" selected="0">
            <x v="67"/>
          </reference>
        </references>
      </pivotArea>
    </format>
    <format dxfId="707">
      <pivotArea dataOnly="0" labelOnly="1" outline="0" fieldPosition="0">
        <references count="3">
          <reference field="4" count="1" selected="0">
            <x v="14"/>
          </reference>
          <reference field="5" count="1">
            <x v="103"/>
          </reference>
          <reference field="19" count="1" selected="0">
            <x v="68"/>
          </reference>
        </references>
      </pivotArea>
    </format>
    <format dxfId="706">
      <pivotArea dataOnly="0" labelOnly="1" outline="0" fieldPosition="0">
        <references count="3">
          <reference field="4" count="1" selected="0">
            <x v="14"/>
          </reference>
          <reference field="5" count="1">
            <x v="36"/>
          </reference>
          <reference field="19" count="1" selected="0">
            <x v="69"/>
          </reference>
        </references>
      </pivotArea>
    </format>
    <format dxfId="705">
      <pivotArea dataOnly="0" labelOnly="1" outline="0" fieldPosition="0">
        <references count="3">
          <reference field="4" count="1" selected="0">
            <x v="14"/>
          </reference>
          <reference field="5" count="1">
            <x v="77"/>
          </reference>
          <reference field="19" count="1" selected="0">
            <x v="80"/>
          </reference>
        </references>
      </pivotArea>
    </format>
    <format dxfId="704">
      <pivotArea dataOnly="0" labelOnly="1" outline="0" fieldPosition="0">
        <references count="3">
          <reference field="4" count="1" selected="0">
            <x v="14"/>
          </reference>
          <reference field="5" count="1">
            <x v="110"/>
          </reference>
          <reference field="19" count="1" selected="0">
            <x v="109"/>
          </reference>
        </references>
      </pivotArea>
    </format>
    <format dxfId="703">
      <pivotArea dataOnly="0" labelOnly="1" outline="0" fieldPosition="0">
        <references count="3">
          <reference field="4" count="1" selected="0">
            <x v="14"/>
          </reference>
          <reference field="5" count="1">
            <x v="130"/>
          </reference>
          <reference field="19" count="1" selected="0">
            <x v="129"/>
          </reference>
        </references>
      </pivotArea>
    </format>
    <format dxfId="702">
      <pivotArea dataOnly="0" labelOnly="1" outline="0" fieldPosition="0">
        <references count="3">
          <reference field="4" count="1" selected="0">
            <x v="14"/>
          </reference>
          <reference field="5" count="1">
            <x v="132"/>
          </reference>
          <reference field="19" count="1" selected="0">
            <x v="131"/>
          </reference>
        </references>
      </pivotArea>
    </format>
    <format dxfId="701">
      <pivotArea outline="0" collapsedLevelsAreSubtotals="1" fieldPosition="0">
        <references count="3">
          <reference field="4" count="1" selected="0">
            <x v="15"/>
          </reference>
          <reference field="5" count="1" selected="0">
            <x v="116"/>
          </reference>
          <reference field="19" count="1" selected="0">
            <x v="0"/>
          </reference>
        </references>
      </pivotArea>
    </format>
    <format dxfId="700">
      <pivotArea dataOnly="0" labelOnly="1" outline="0" fieldPosition="0">
        <references count="1">
          <reference field="4" count="1">
            <x v="15"/>
          </reference>
        </references>
      </pivotArea>
    </format>
    <format dxfId="699">
      <pivotArea dataOnly="0" labelOnly="1" outline="0" fieldPosition="0">
        <references count="2">
          <reference field="4" count="1" selected="0">
            <x v="15"/>
          </reference>
          <reference field="19" count="1">
            <x v="0"/>
          </reference>
        </references>
      </pivotArea>
    </format>
    <format dxfId="698">
      <pivotArea dataOnly="0" labelOnly="1" outline="0" fieldPosition="0">
        <references count="3">
          <reference field="4" count="1" selected="0">
            <x v="15"/>
          </reference>
          <reference field="5" count="1">
            <x v="116"/>
          </reference>
          <reference field="19" count="1" selected="0">
            <x v="0"/>
          </reference>
        </references>
      </pivotArea>
    </format>
    <format dxfId="697">
      <pivotArea grandRow="1" outline="0" collapsedLevelsAreSubtotals="1" fieldPosition="0"/>
    </format>
    <format dxfId="696">
      <pivotArea dataOnly="0" labelOnly="1" grandRow="1" outline="0" fieldPosition="0"/>
    </format>
    <format dxfId="695">
      <pivotArea type="all" dataOnly="0" outline="0" fieldPosition="0"/>
    </format>
    <format dxfId="694">
      <pivotArea dataOnly="0" labelOnly="1" outline="0" fieldPosition="0">
        <references count="1">
          <reference field="4" count="0"/>
        </references>
      </pivotArea>
    </format>
    <format dxfId="693">
      <pivotArea dataOnly="0" labelOnly="1" grandRow="1" outline="0" offset="A256" fieldPosition="0"/>
    </format>
    <format dxfId="692">
      <pivotArea field="5" type="button" dataOnly="0" labelOnly="1" outline="0" axis="axisRow" fieldPosition="2"/>
    </format>
    <format dxfId="691">
      <pivotArea dataOnly="0" labelOnly="1" grandRow="1" outline="0" offset="IV256" fieldPosition="0"/>
    </format>
    <format dxfId="690">
      <pivotArea dataOnly="0" labelOnly="1" outline="0" fieldPosition="0">
        <references count="3">
          <reference field="4" count="1" selected="0">
            <x v="0"/>
          </reference>
          <reference field="5" count="1">
            <x v="83"/>
          </reference>
          <reference field="19" count="1" selected="0">
            <x v="36"/>
          </reference>
        </references>
      </pivotArea>
    </format>
    <format dxfId="689">
      <pivotArea dataOnly="0" labelOnly="1" outline="0" fieldPosition="0">
        <references count="3">
          <reference field="4" count="1" selected="0">
            <x v="0"/>
          </reference>
          <reference field="5" count="1">
            <x v="30"/>
          </reference>
          <reference field="19" count="1" selected="0">
            <x v="37"/>
          </reference>
        </references>
      </pivotArea>
    </format>
    <format dxfId="688">
      <pivotArea dataOnly="0" labelOnly="1" outline="0" fieldPosition="0">
        <references count="3">
          <reference field="4" count="1" selected="0">
            <x v="0"/>
          </reference>
          <reference field="5" count="1">
            <x v="1"/>
          </reference>
          <reference field="19" count="1" selected="0">
            <x v="38"/>
          </reference>
        </references>
      </pivotArea>
    </format>
    <format dxfId="687">
      <pivotArea dataOnly="0" labelOnly="1" outline="0" fieldPosition="0">
        <references count="3">
          <reference field="4" count="1" selected="0">
            <x v="0"/>
          </reference>
          <reference field="5" count="1">
            <x v="16"/>
          </reference>
          <reference field="19" count="1" selected="0">
            <x v="39"/>
          </reference>
        </references>
      </pivotArea>
    </format>
    <format dxfId="686">
      <pivotArea dataOnly="0" labelOnly="1" outline="0" fieldPosition="0">
        <references count="3">
          <reference field="4" count="1" selected="0">
            <x v="0"/>
          </reference>
          <reference field="5" count="1">
            <x v="105"/>
          </reference>
          <reference field="19" count="1" selected="0">
            <x v="40"/>
          </reference>
        </references>
      </pivotArea>
    </format>
    <format dxfId="685">
      <pivotArea dataOnly="0" labelOnly="1" outline="0" fieldPosition="0">
        <references count="3">
          <reference field="4" count="1" selected="0">
            <x v="0"/>
          </reference>
          <reference field="5" count="1">
            <x v="65"/>
          </reference>
          <reference field="19" count="1" selected="0">
            <x v="41"/>
          </reference>
        </references>
      </pivotArea>
    </format>
    <format dxfId="684">
      <pivotArea dataOnly="0" labelOnly="1" outline="0" fieldPosition="0">
        <references count="3">
          <reference field="4" count="1" selected="0">
            <x v="0"/>
          </reference>
          <reference field="5" count="1">
            <x v="93"/>
          </reference>
          <reference field="19" count="1" selected="0">
            <x v="42"/>
          </reference>
        </references>
      </pivotArea>
    </format>
    <format dxfId="683">
      <pivotArea dataOnly="0" labelOnly="1" outline="0" fieldPosition="0">
        <references count="3">
          <reference field="4" count="1" selected="0">
            <x v="0"/>
          </reference>
          <reference field="5" count="1">
            <x v="76"/>
          </reference>
          <reference field="19" count="1" selected="0">
            <x v="92"/>
          </reference>
        </references>
      </pivotArea>
    </format>
    <format dxfId="682">
      <pivotArea dataOnly="0" labelOnly="1" outline="0" fieldPosition="0">
        <references count="3">
          <reference field="4" count="1" selected="0">
            <x v="0"/>
          </reference>
          <reference field="5" count="1">
            <x v="111"/>
          </reference>
          <reference field="19" count="1" selected="0">
            <x v="110"/>
          </reference>
        </references>
      </pivotArea>
    </format>
    <format dxfId="681">
      <pivotArea dataOnly="0" labelOnly="1" outline="0" fieldPosition="0">
        <references count="3">
          <reference field="4" count="1" selected="0">
            <x v="0"/>
          </reference>
          <reference field="5" count="1">
            <x v="114"/>
          </reference>
          <reference field="19" count="1" selected="0">
            <x v="113"/>
          </reference>
        </references>
      </pivotArea>
    </format>
    <format dxfId="680">
      <pivotArea dataOnly="0" labelOnly="1" outline="0" fieldPosition="0">
        <references count="3">
          <reference field="4" count="1" selected="0">
            <x v="1"/>
          </reference>
          <reference field="5" count="1">
            <x v="6"/>
          </reference>
          <reference field="19" count="1" selected="0">
            <x v="35"/>
          </reference>
        </references>
      </pivotArea>
    </format>
    <format dxfId="679">
      <pivotArea dataOnly="0" labelOnly="1" outline="0" fieldPosition="0">
        <references count="3">
          <reference field="4" count="1" selected="0">
            <x v="1"/>
          </reference>
          <reference field="5" count="1">
            <x v="28"/>
          </reference>
          <reference field="19" count="1" selected="0">
            <x v="93"/>
          </reference>
        </references>
      </pivotArea>
    </format>
    <format dxfId="678">
      <pivotArea dataOnly="0" labelOnly="1" outline="0" fieldPosition="0">
        <references count="3">
          <reference field="4" count="1" selected="0">
            <x v="1"/>
          </reference>
          <reference field="5" count="1">
            <x v="117"/>
          </reference>
          <reference field="19" count="1" selected="0">
            <x v="115"/>
          </reference>
        </references>
      </pivotArea>
    </format>
    <format dxfId="677">
      <pivotArea dataOnly="0" labelOnly="1" outline="0" fieldPosition="0">
        <references count="3">
          <reference field="4" count="1" selected="0">
            <x v="2"/>
          </reference>
          <reference field="5" count="2">
            <x v="102"/>
            <x v="116"/>
          </reference>
          <reference field="19" count="1" selected="0">
            <x v="0"/>
          </reference>
        </references>
      </pivotArea>
    </format>
    <format dxfId="676">
      <pivotArea dataOnly="0" labelOnly="1" outline="0" fieldPosition="0">
        <references count="3">
          <reference field="4" count="1" selected="0">
            <x v="2"/>
          </reference>
          <reference field="5" count="1">
            <x v="53"/>
          </reference>
          <reference field="19" count="1" selected="0">
            <x v="61"/>
          </reference>
        </references>
      </pivotArea>
    </format>
    <format dxfId="675">
      <pivotArea dataOnly="0" labelOnly="1" outline="0" fieldPosition="0">
        <references count="3">
          <reference field="4" count="1" selected="0">
            <x v="2"/>
          </reference>
          <reference field="5" count="1">
            <x v="66"/>
          </reference>
          <reference field="19" count="1" selected="0">
            <x v="63"/>
          </reference>
        </references>
      </pivotArea>
    </format>
    <format dxfId="674">
      <pivotArea dataOnly="0" labelOnly="1" outline="0" fieldPosition="0">
        <references count="3">
          <reference field="4" count="1" selected="0">
            <x v="2"/>
          </reference>
          <reference field="5" count="1">
            <x v="106"/>
          </reference>
          <reference field="19" count="1" selected="0">
            <x v="64"/>
          </reference>
        </references>
      </pivotArea>
    </format>
    <format dxfId="673">
      <pivotArea dataOnly="0" labelOnly="1" outline="0" fieldPosition="0">
        <references count="3">
          <reference field="4" count="1" selected="0">
            <x v="2"/>
          </reference>
          <reference field="5" count="1">
            <x v="5"/>
          </reference>
          <reference field="19" count="1" selected="0">
            <x v="65"/>
          </reference>
        </references>
      </pivotArea>
    </format>
    <format dxfId="672">
      <pivotArea dataOnly="0" labelOnly="1" outline="0" fieldPosition="0">
        <references count="3">
          <reference field="4" count="1" selected="0">
            <x v="2"/>
          </reference>
          <reference field="5" count="1">
            <x v="3"/>
          </reference>
          <reference field="19" count="1" selected="0">
            <x v="82"/>
          </reference>
        </references>
      </pivotArea>
    </format>
    <format dxfId="671">
      <pivotArea dataOnly="0" labelOnly="1" outline="0" fieldPosition="0">
        <references count="3">
          <reference field="4" count="1" selected="0">
            <x v="2"/>
          </reference>
          <reference field="5" count="1">
            <x v="7"/>
          </reference>
          <reference field="19" count="1" selected="0">
            <x v="83"/>
          </reference>
        </references>
      </pivotArea>
    </format>
    <format dxfId="670">
      <pivotArea dataOnly="0" labelOnly="1" outline="0" fieldPosition="0">
        <references count="3">
          <reference field="4" count="1" selected="0">
            <x v="2"/>
          </reference>
          <reference field="5" count="1">
            <x v="2"/>
          </reference>
          <reference field="19" count="1" selected="0">
            <x v="84"/>
          </reference>
        </references>
      </pivotArea>
    </format>
    <format dxfId="669">
      <pivotArea dataOnly="0" labelOnly="1" outline="0" fieldPosition="0">
        <references count="3">
          <reference field="4" count="1" selected="0">
            <x v="2"/>
          </reference>
          <reference field="5" count="1">
            <x v="0"/>
          </reference>
          <reference field="19" count="1" selected="0">
            <x v="85"/>
          </reference>
        </references>
      </pivotArea>
    </format>
    <format dxfId="668">
      <pivotArea dataOnly="0" labelOnly="1" outline="0" fieldPosition="0">
        <references count="3">
          <reference field="4" count="1" selected="0">
            <x v="2"/>
          </reference>
          <reference field="5" count="1">
            <x v="29"/>
          </reference>
          <reference field="19" count="1" selected="0">
            <x v="86"/>
          </reference>
        </references>
      </pivotArea>
    </format>
    <format dxfId="667">
      <pivotArea dataOnly="0" labelOnly="1" outline="0" fieldPosition="0">
        <references count="3">
          <reference field="4" count="1" selected="0">
            <x v="2"/>
          </reference>
          <reference field="5" count="1">
            <x v="82"/>
          </reference>
          <reference field="19" count="1" selected="0">
            <x v="87"/>
          </reference>
        </references>
      </pivotArea>
    </format>
    <format dxfId="666">
      <pivotArea dataOnly="0" labelOnly="1" outline="0" fieldPosition="0">
        <references count="3">
          <reference field="4" count="1" selected="0">
            <x v="2"/>
          </reference>
          <reference field="5" count="1">
            <x v="85"/>
          </reference>
          <reference field="19" count="1" selected="0">
            <x v="88"/>
          </reference>
        </references>
      </pivotArea>
    </format>
    <format dxfId="665">
      <pivotArea dataOnly="0" labelOnly="1" outline="0" fieldPosition="0">
        <references count="3">
          <reference field="4" count="1" selected="0">
            <x v="2"/>
          </reference>
          <reference field="5" count="1">
            <x v="101"/>
          </reference>
          <reference field="19" count="1" selected="0">
            <x v="89"/>
          </reference>
        </references>
      </pivotArea>
    </format>
    <format dxfId="664">
      <pivotArea dataOnly="0" labelOnly="1" outline="0" fieldPosition="0">
        <references count="3">
          <reference field="4" count="1" selected="0">
            <x v="2"/>
          </reference>
          <reference field="5" count="1">
            <x v="13"/>
          </reference>
          <reference field="19" count="1" selected="0">
            <x v="90"/>
          </reference>
        </references>
      </pivotArea>
    </format>
    <format dxfId="663">
      <pivotArea dataOnly="0" labelOnly="1" outline="0" fieldPosition="0">
        <references count="3">
          <reference field="4" count="1" selected="0">
            <x v="2"/>
          </reference>
          <reference field="5" count="1">
            <x v="62"/>
          </reference>
          <reference field="19" count="1" selected="0">
            <x v="91"/>
          </reference>
        </references>
      </pivotArea>
    </format>
    <format dxfId="662">
      <pivotArea dataOnly="0" labelOnly="1" outline="0" fieldPosition="0">
        <references count="3">
          <reference field="4" count="1" selected="0">
            <x v="2"/>
          </reference>
          <reference field="5" count="1">
            <x v="113"/>
          </reference>
          <reference field="19" count="1" selected="0">
            <x v="112"/>
          </reference>
        </references>
      </pivotArea>
    </format>
    <format dxfId="661">
      <pivotArea dataOnly="0" labelOnly="1" outline="0" fieldPosition="0">
        <references count="3">
          <reference field="4" count="1" selected="0">
            <x v="2"/>
          </reference>
          <reference field="5" count="1">
            <x v="121"/>
          </reference>
          <reference field="19" count="1" selected="0">
            <x v="119"/>
          </reference>
        </references>
      </pivotArea>
    </format>
    <format dxfId="660">
      <pivotArea dataOnly="0" labelOnly="1" outline="0" fieldPosition="0">
        <references count="3">
          <reference field="4" count="1" selected="0">
            <x v="2"/>
          </reference>
          <reference field="5" count="1">
            <x v="122"/>
          </reference>
          <reference field="19" count="1" selected="0">
            <x v="120"/>
          </reference>
        </references>
      </pivotArea>
    </format>
    <format dxfId="659">
      <pivotArea dataOnly="0" labelOnly="1" outline="0" fieldPosition="0">
        <references count="3">
          <reference field="4" count="1" selected="0">
            <x v="3"/>
          </reference>
          <reference field="5" count="1">
            <x v="60"/>
          </reference>
          <reference field="19" count="1" selected="0">
            <x v="100"/>
          </reference>
        </references>
      </pivotArea>
    </format>
    <format dxfId="658">
      <pivotArea dataOnly="0" labelOnly="1" outline="0" fieldPosition="0">
        <references count="3">
          <reference field="4" count="1" selected="0">
            <x v="3"/>
          </reference>
          <reference field="5" count="1">
            <x v="20"/>
          </reference>
          <reference field="19" count="1" selected="0">
            <x v="104"/>
          </reference>
        </references>
      </pivotArea>
    </format>
    <format dxfId="657">
      <pivotArea dataOnly="0" labelOnly="1" outline="0" fieldPosition="0">
        <references count="3">
          <reference field="4" count="1" selected="0">
            <x v="3"/>
          </reference>
          <reference field="5" count="1">
            <x v="21"/>
          </reference>
          <reference field="19" count="1" selected="0">
            <x v="105"/>
          </reference>
        </references>
      </pivotArea>
    </format>
    <format dxfId="656">
      <pivotArea dataOnly="0" labelOnly="1" outline="0" fieldPosition="0">
        <references count="3">
          <reference field="4" count="1" selected="0">
            <x v="3"/>
          </reference>
          <reference field="5" count="1">
            <x v="119"/>
          </reference>
          <reference field="19" count="1" selected="0">
            <x v="117"/>
          </reference>
        </references>
      </pivotArea>
    </format>
    <format dxfId="655">
      <pivotArea dataOnly="0" labelOnly="1" outline="0" fieldPosition="0">
        <references count="3">
          <reference field="4" count="1" selected="0">
            <x v="3"/>
          </reference>
          <reference field="5" count="1">
            <x v="124"/>
          </reference>
          <reference field="19" count="1" selected="0">
            <x v="122"/>
          </reference>
        </references>
      </pivotArea>
    </format>
    <format dxfId="654">
      <pivotArea dataOnly="0" labelOnly="1" outline="0" fieldPosition="0">
        <references count="3">
          <reference field="4" count="1" selected="0">
            <x v="3"/>
          </reference>
          <reference field="5" count="1">
            <x v="129"/>
          </reference>
          <reference field="19" count="1" selected="0">
            <x v="127"/>
          </reference>
        </references>
      </pivotArea>
    </format>
    <format dxfId="653">
      <pivotArea dataOnly="0" labelOnly="1" outline="0" fieldPosition="0">
        <references count="3">
          <reference field="4" count="1" selected="0">
            <x v="3"/>
          </reference>
          <reference field="5" count="1">
            <x v="133"/>
          </reference>
          <reference field="19" count="1" selected="0">
            <x v="128"/>
          </reference>
        </references>
      </pivotArea>
    </format>
    <format dxfId="652">
      <pivotArea dataOnly="0" labelOnly="1" outline="0" fieldPosition="0">
        <references count="3">
          <reference field="4" count="1" selected="0">
            <x v="4"/>
          </reference>
          <reference field="5" count="1">
            <x v="49"/>
          </reference>
          <reference field="19" count="1" selected="0">
            <x v="48"/>
          </reference>
        </references>
      </pivotArea>
    </format>
    <format dxfId="651">
      <pivotArea dataOnly="0" labelOnly="1" outline="0" fieldPosition="0">
        <references count="3">
          <reference field="4" count="1" selected="0">
            <x v="4"/>
          </reference>
          <reference field="5" count="1">
            <x v="25"/>
          </reference>
          <reference field="19" count="1" selected="0">
            <x v="74"/>
          </reference>
        </references>
      </pivotArea>
    </format>
    <format dxfId="650">
      <pivotArea dataOnly="0" labelOnly="1" outline="0" fieldPosition="0">
        <references count="3">
          <reference field="4" count="1" selected="0">
            <x v="4"/>
          </reference>
          <reference field="5" count="1">
            <x v="45"/>
          </reference>
          <reference field="19" count="1" selected="0">
            <x v="76"/>
          </reference>
        </references>
      </pivotArea>
    </format>
    <format dxfId="649">
      <pivotArea dataOnly="0" labelOnly="1" outline="0" fieldPosition="0">
        <references count="3">
          <reference field="4" count="1" selected="0">
            <x v="4"/>
          </reference>
          <reference field="5" count="1">
            <x v="44"/>
          </reference>
          <reference field="19" count="1" selected="0">
            <x v="77"/>
          </reference>
        </references>
      </pivotArea>
    </format>
    <format dxfId="648">
      <pivotArea dataOnly="0" labelOnly="1" outline="0" fieldPosition="0">
        <references count="3">
          <reference field="4" count="1" selected="0">
            <x v="4"/>
          </reference>
          <reference field="5" count="1">
            <x v="34"/>
          </reference>
          <reference field="19" count="1" selected="0">
            <x v="78"/>
          </reference>
        </references>
      </pivotArea>
    </format>
    <format dxfId="647">
      <pivotArea dataOnly="0" labelOnly="1" outline="0" fieldPosition="0">
        <references count="3">
          <reference field="4" count="1" selected="0">
            <x v="4"/>
          </reference>
          <reference field="5" count="1">
            <x v="107"/>
          </reference>
          <reference field="19" count="1" selected="0">
            <x v="106"/>
          </reference>
        </references>
      </pivotArea>
    </format>
    <format dxfId="646">
      <pivotArea dataOnly="0" labelOnly="1" outline="0" fieldPosition="0">
        <references count="3">
          <reference field="4" count="1" selected="0">
            <x v="4"/>
          </reference>
          <reference field="5" count="1">
            <x v="109"/>
          </reference>
          <reference field="19" count="1" selected="0">
            <x v="108"/>
          </reference>
        </references>
      </pivotArea>
    </format>
    <format dxfId="645">
      <pivotArea dataOnly="0" labelOnly="1" outline="0" fieldPosition="0">
        <references count="3">
          <reference field="4" count="1" selected="0">
            <x v="4"/>
          </reference>
          <reference field="5" count="1">
            <x v="118"/>
          </reference>
          <reference field="19" count="1" selected="0">
            <x v="116"/>
          </reference>
        </references>
      </pivotArea>
    </format>
    <format dxfId="644">
      <pivotArea dataOnly="0" labelOnly="1" outline="0" fieldPosition="0">
        <references count="3">
          <reference field="4" count="1" selected="0">
            <x v="4"/>
          </reference>
          <reference field="5" count="1">
            <x v="120"/>
          </reference>
          <reference field="19" count="1" selected="0">
            <x v="118"/>
          </reference>
        </references>
      </pivotArea>
    </format>
    <format dxfId="643">
      <pivotArea dataOnly="0" labelOnly="1" outline="0" fieldPosition="0">
        <references count="3">
          <reference field="4" count="1" selected="0">
            <x v="5"/>
          </reference>
          <reference field="5" count="1">
            <x v="47"/>
          </reference>
          <reference field="19" count="1" selected="0">
            <x v="101"/>
          </reference>
        </references>
      </pivotArea>
    </format>
    <format dxfId="642">
      <pivotArea dataOnly="0" labelOnly="1" outline="0" fieldPosition="0">
        <references count="3">
          <reference field="4" count="1" selected="0">
            <x v="5"/>
          </reference>
          <reference field="5" count="1">
            <x v="14"/>
          </reference>
          <reference field="19" count="1" selected="0">
            <x v="102"/>
          </reference>
        </references>
      </pivotArea>
    </format>
    <format dxfId="641">
      <pivotArea dataOnly="0" labelOnly="1" outline="0" fieldPosition="0">
        <references count="3">
          <reference field="4" count="1" selected="0">
            <x v="5"/>
          </reference>
          <reference field="5" count="1">
            <x v="134"/>
          </reference>
          <reference field="19" count="1" selected="0">
            <x v="132"/>
          </reference>
        </references>
      </pivotArea>
    </format>
    <format dxfId="640">
      <pivotArea dataOnly="0" labelOnly="1" outline="0" fieldPosition="0">
        <references count="3">
          <reference field="4" count="1" selected="0">
            <x v="6"/>
          </reference>
          <reference field="5" count="1">
            <x v="48"/>
          </reference>
          <reference field="19" count="1" selected="0">
            <x v="56"/>
          </reference>
        </references>
      </pivotArea>
    </format>
    <format dxfId="639">
      <pivotArea dataOnly="0" labelOnly="1" outline="0" fieldPosition="0">
        <references count="3">
          <reference field="4" count="1" selected="0">
            <x v="6"/>
          </reference>
          <reference field="5" count="1">
            <x v="23"/>
          </reference>
          <reference field="19" count="1" selected="0">
            <x v="57"/>
          </reference>
        </references>
      </pivotArea>
    </format>
    <format dxfId="638">
      <pivotArea dataOnly="0" labelOnly="1" outline="0" fieldPosition="0">
        <references count="3">
          <reference field="4" count="1" selected="0">
            <x v="6"/>
          </reference>
          <reference field="5" count="1">
            <x v="67"/>
          </reference>
          <reference field="19" count="1" selected="0">
            <x v="58"/>
          </reference>
        </references>
      </pivotArea>
    </format>
    <format dxfId="637">
      <pivotArea dataOnly="0" labelOnly="1" outline="0" fieldPosition="0">
        <references count="3">
          <reference field="4" count="1" selected="0">
            <x v="7"/>
          </reference>
          <reference field="5" count="1">
            <x v="92"/>
          </reference>
          <reference field="19" count="1" selected="0">
            <x v="59"/>
          </reference>
        </references>
      </pivotArea>
    </format>
    <format dxfId="636">
      <pivotArea dataOnly="0" labelOnly="1" outline="0" fieldPosition="0">
        <references count="3">
          <reference field="4" count="1" selected="0">
            <x v="7"/>
          </reference>
          <reference field="5" count="1">
            <x v="68"/>
          </reference>
          <reference field="19" count="1" selected="0">
            <x v="79"/>
          </reference>
        </references>
      </pivotArea>
    </format>
    <format dxfId="635">
      <pivotArea dataOnly="0" labelOnly="1" outline="0" fieldPosition="0">
        <references count="3">
          <reference field="4" count="1" selected="0">
            <x v="8"/>
          </reference>
          <reference field="5" count="1">
            <x v="54"/>
          </reference>
          <reference field="19" count="1" selected="0">
            <x v="43"/>
          </reference>
        </references>
      </pivotArea>
    </format>
    <format dxfId="634">
      <pivotArea dataOnly="0" labelOnly="1" outline="0" fieldPosition="0">
        <references count="3">
          <reference field="4" count="1" selected="0">
            <x v="8"/>
          </reference>
          <reference field="5" count="1">
            <x v="46"/>
          </reference>
          <reference field="19" count="1" selected="0">
            <x v="45"/>
          </reference>
        </references>
      </pivotArea>
    </format>
    <format dxfId="633">
      <pivotArea dataOnly="0" labelOnly="1" outline="0" fieldPosition="0">
        <references count="3">
          <reference field="4" count="1" selected="0">
            <x v="8"/>
          </reference>
          <reference field="5" count="1">
            <x v="71"/>
          </reference>
          <reference field="19" count="1" selected="0">
            <x v="46"/>
          </reference>
        </references>
      </pivotArea>
    </format>
    <format dxfId="632">
      <pivotArea dataOnly="0" labelOnly="1" outline="0" fieldPosition="0">
        <references count="3">
          <reference field="4" count="1" selected="0">
            <x v="8"/>
          </reference>
          <reference field="5" count="1">
            <x v="42"/>
          </reference>
          <reference field="19" count="1" selected="0">
            <x v="47"/>
          </reference>
        </references>
      </pivotArea>
    </format>
    <format dxfId="631">
      <pivotArea dataOnly="0" labelOnly="1" outline="0" fieldPosition="0">
        <references count="3">
          <reference field="4" count="1" selected="0">
            <x v="8"/>
          </reference>
          <reference field="5" count="1">
            <x v="32"/>
          </reference>
          <reference field="19" count="1" selected="0">
            <x v="51"/>
          </reference>
        </references>
      </pivotArea>
    </format>
    <format dxfId="630">
      <pivotArea dataOnly="0" labelOnly="1" outline="0" fieldPosition="0">
        <references count="3">
          <reference field="4" count="1" selected="0">
            <x v="8"/>
          </reference>
          <reference field="5" count="1">
            <x v="33"/>
          </reference>
          <reference field="19" count="1" selected="0">
            <x v="52"/>
          </reference>
        </references>
      </pivotArea>
    </format>
    <format dxfId="629">
      <pivotArea dataOnly="0" labelOnly="1" outline="0" fieldPosition="0">
        <references count="3">
          <reference field="4" count="1" selected="0">
            <x v="8"/>
          </reference>
          <reference field="5" count="1">
            <x v="31"/>
          </reference>
          <reference field="19" count="1" selected="0">
            <x v="53"/>
          </reference>
        </references>
      </pivotArea>
    </format>
    <format dxfId="628">
      <pivotArea dataOnly="0" labelOnly="1" outline="0" fieldPosition="0">
        <references count="3">
          <reference field="4" count="1" selected="0">
            <x v="8"/>
          </reference>
          <reference field="5" count="1">
            <x v="73"/>
          </reference>
          <reference field="19" count="1" selected="0">
            <x v="54"/>
          </reference>
        </references>
      </pivotArea>
    </format>
    <format dxfId="627">
      <pivotArea dataOnly="0" labelOnly="1" outline="0" fieldPosition="0">
        <references count="3">
          <reference field="4" count="1" selected="0">
            <x v="8"/>
          </reference>
          <reference field="5" count="1">
            <x v="86"/>
          </reference>
          <reference field="19" count="1" selected="0">
            <x v="55"/>
          </reference>
        </references>
      </pivotArea>
    </format>
    <format dxfId="626">
      <pivotArea dataOnly="0" labelOnly="1" outline="0" fieldPosition="0">
        <references count="3">
          <reference field="4" count="1" selected="0">
            <x v="8"/>
          </reference>
          <reference field="5" count="1">
            <x v="19"/>
          </reference>
          <reference field="19" count="1" selected="0">
            <x v="70"/>
          </reference>
        </references>
      </pivotArea>
    </format>
    <format dxfId="625">
      <pivotArea dataOnly="0" labelOnly="1" outline="0" fieldPosition="0">
        <references count="3">
          <reference field="4" count="1" selected="0">
            <x v="8"/>
          </reference>
          <reference field="5" count="1">
            <x v="15"/>
          </reference>
          <reference field="19" count="1" selected="0">
            <x v="71"/>
          </reference>
        </references>
      </pivotArea>
    </format>
    <format dxfId="624">
      <pivotArea dataOnly="0" labelOnly="1" outline="0" fieldPosition="0">
        <references count="3">
          <reference field="4" count="1" selected="0">
            <x v="8"/>
          </reference>
          <reference field="5" count="1">
            <x v="10"/>
          </reference>
          <reference field="19" count="1" selected="0">
            <x v="72"/>
          </reference>
        </references>
      </pivotArea>
    </format>
    <format dxfId="623">
      <pivotArea dataOnly="0" labelOnly="1" outline="0" fieldPosition="0">
        <references count="3">
          <reference field="4" count="1" selected="0">
            <x v="8"/>
          </reference>
          <reference field="5" count="1">
            <x v="75"/>
          </reference>
          <reference field="19" count="1" selected="0">
            <x v="73"/>
          </reference>
        </references>
      </pivotArea>
    </format>
    <format dxfId="622">
      <pivotArea dataOnly="0" labelOnly="1" outline="0" fieldPosition="0">
        <references count="3">
          <reference field="4" count="1" selected="0">
            <x v="8"/>
          </reference>
          <reference field="5" count="1">
            <x v="70"/>
          </reference>
          <reference field="19" count="1" selected="0">
            <x v="75"/>
          </reference>
        </references>
      </pivotArea>
    </format>
    <format dxfId="621">
      <pivotArea dataOnly="0" labelOnly="1" outline="0" fieldPosition="0">
        <references count="3">
          <reference field="4" count="1" selected="0">
            <x v="8"/>
          </reference>
          <reference field="5" count="1">
            <x v="112"/>
          </reference>
          <reference field="19" count="1" selected="0">
            <x v="111"/>
          </reference>
        </references>
      </pivotArea>
    </format>
    <format dxfId="620">
      <pivotArea dataOnly="0" labelOnly="1" outline="0" fieldPosition="0">
        <references count="3">
          <reference field="4" count="1" selected="0">
            <x v="9"/>
          </reference>
          <reference field="5" count="1">
            <x v="56"/>
          </reference>
          <reference field="19" count="1" selected="0">
            <x v="99"/>
          </reference>
        </references>
      </pivotArea>
    </format>
    <format dxfId="619">
      <pivotArea dataOnly="0" labelOnly="1" outline="0" fieldPosition="0">
        <references count="3">
          <reference field="4" count="1" selected="0">
            <x v="9"/>
          </reference>
          <reference field="5" count="1">
            <x v="125"/>
          </reference>
          <reference field="19" count="1" selected="0">
            <x v="123"/>
          </reference>
        </references>
      </pivotArea>
    </format>
    <format dxfId="618">
      <pivotArea dataOnly="0" labelOnly="1" outline="0" fieldPosition="0">
        <references count="3">
          <reference field="4" count="1" selected="0">
            <x v="9"/>
          </reference>
          <reference field="5" count="1">
            <x v="126"/>
          </reference>
          <reference field="19" count="1" selected="0">
            <x v="124"/>
          </reference>
        </references>
      </pivotArea>
    </format>
    <format dxfId="617">
      <pivotArea dataOnly="0" labelOnly="1" outline="0" fieldPosition="0">
        <references count="3">
          <reference field="4" count="1" selected="0">
            <x v="10"/>
          </reference>
          <reference field="5" count="2">
            <x v="84"/>
            <x v="116"/>
          </reference>
          <reference field="19" count="1" selected="0">
            <x v="0"/>
          </reference>
        </references>
      </pivotArea>
    </format>
    <format dxfId="616">
      <pivotArea dataOnly="0" labelOnly="1" outline="0" fieldPosition="0">
        <references count="3">
          <reference field="4" count="1" selected="0">
            <x v="10"/>
          </reference>
          <reference field="5" count="1">
            <x v="94"/>
          </reference>
          <reference field="19" count="1" selected="0">
            <x v="1"/>
          </reference>
        </references>
      </pivotArea>
    </format>
    <format dxfId="615">
      <pivotArea dataOnly="0" labelOnly="1" outline="0" fieldPosition="0">
        <references count="3">
          <reference field="4" count="1" selected="0">
            <x v="10"/>
          </reference>
          <reference field="5" count="1">
            <x v="72"/>
          </reference>
          <reference field="19" count="1" selected="0">
            <x v="2"/>
          </reference>
        </references>
      </pivotArea>
    </format>
    <format dxfId="614">
      <pivotArea dataOnly="0" labelOnly="1" outline="0" fieldPosition="0">
        <references count="3">
          <reference field="4" count="1" selected="0">
            <x v="10"/>
          </reference>
          <reference field="5" count="1">
            <x v="96"/>
          </reference>
          <reference field="19" count="1" selected="0">
            <x v="3"/>
          </reference>
        </references>
      </pivotArea>
    </format>
    <format dxfId="613">
      <pivotArea dataOnly="0" labelOnly="1" outline="0" fieldPosition="0">
        <references count="3">
          <reference field="4" count="1" selected="0">
            <x v="10"/>
          </reference>
          <reference field="5" count="1">
            <x v="95"/>
          </reference>
          <reference field="19" count="1" selected="0">
            <x v="4"/>
          </reference>
        </references>
      </pivotArea>
    </format>
    <format dxfId="612">
      <pivotArea dataOnly="0" labelOnly="1" outline="0" fieldPosition="0">
        <references count="3">
          <reference field="4" count="1" selected="0">
            <x v="10"/>
          </reference>
          <reference field="5" count="1">
            <x v="97"/>
          </reference>
          <reference field="19" count="1" selected="0">
            <x v="5"/>
          </reference>
        </references>
      </pivotArea>
    </format>
    <format dxfId="611">
      <pivotArea dataOnly="0" labelOnly="1" outline="0" fieldPosition="0">
        <references count="3">
          <reference field="4" count="1" selected="0">
            <x v="10"/>
          </reference>
          <reference field="5" count="1">
            <x v="87"/>
          </reference>
          <reference field="19" count="1" selected="0">
            <x v="6"/>
          </reference>
        </references>
      </pivotArea>
    </format>
    <format dxfId="610">
      <pivotArea dataOnly="0" labelOnly="1" outline="0" fieldPosition="0">
        <references count="3">
          <reference field="4" count="1" selected="0">
            <x v="10"/>
          </reference>
          <reference field="5" count="1">
            <x v="43"/>
          </reference>
          <reference field="19" count="1" selected="0">
            <x v="7"/>
          </reference>
        </references>
      </pivotArea>
    </format>
    <format dxfId="609">
      <pivotArea dataOnly="0" labelOnly="1" outline="0" fieldPosition="0">
        <references count="3">
          <reference field="4" count="1" selected="0">
            <x v="10"/>
          </reference>
          <reference field="5" count="1">
            <x v="91"/>
          </reference>
          <reference field="19" count="1" selected="0">
            <x v="8"/>
          </reference>
        </references>
      </pivotArea>
    </format>
    <format dxfId="608">
      <pivotArea dataOnly="0" labelOnly="1" outline="0" fieldPosition="0">
        <references count="3">
          <reference field="4" count="1" selected="0">
            <x v="10"/>
          </reference>
          <reference field="5" count="1">
            <x v="9"/>
          </reference>
          <reference field="19" count="1" selected="0">
            <x v="9"/>
          </reference>
        </references>
      </pivotArea>
    </format>
    <format dxfId="607">
      <pivotArea dataOnly="0" labelOnly="1" outline="0" fieldPosition="0">
        <references count="3">
          <reference field="4" count="1" selected="0">
            <x v="10"/>
          </reference>
          <reference field="5" count="1">
            <x v="8"/>
          </reference>
          <reference field="19" count="1" selected="0">
            <x v="10"/>
          </reference>
        </references>
      </pivotArea>
    </format>
    <format dxfId="606">
      <pivotArea dataOnly="0" labelOnly="1" outline="0" fieldPosition="0">
        <references count="3">
          <reference field="4" count="1" selected="0">
            <x v="10"/>
          </reference>
          <reference field="5" count="1">
            <x v="22"/>
          </reference>
          <reference field="19" count="1" selected="0">
            <x v="11"/>
          </reference>
        </references>
      </pivotArea>
    </format>
    <format dxfId="605">
      <pivotArea dataOnly="0" labelOnly="1" outline="0" fieldPosition="0">
        <references count="3">
          <reference field="4" count="1" selected="0">
            <x v="10"/>
          </reference>
          <reference field="5" count="1">
            <x v="27"/>
          </reference>
          <reference field="19" count="1" selected="0">
            <x v="12"/>
          </reference>
        </references>
      </pivotArea>
    </format>
    <format dxfId="604">
      <pivotArea dataOnly="0" labelOnly="1" outline="0" fieldPosition="0">
        <references count="3">
          <reference field="4" count="1" selected="0">
            <x v="10"/>
          </reference>
          <reference field="5" count="1">
            <x v="26"/>
          </reference>
          <reference field="19" count="1" selected="0">
            <x v="13"/>
          </reference>
        </references>
      </pivotArea>
    </format>
    <format dxfId="603">
      <pivotArea dataOnly="0" labelOnly="1" outline="0" fieldPosition="0">
        <references count="3">
          <reference field="4" count="1" selected="0">
            <x v="10"/>
          </reference>
          <reference field="5" count="1">
            <x v="41"/>
          </reference>
          <reference field="19" count="1" selected="0">
            <x v="14"/>
          </reference>
        </references>
      </pivotArea>
    </format>
    <format dxfId="602">
      <pivotArea dataOnly="0" labelOnly="1" outline="0" fieldPosition="0">
        <references count="3">
          <reference field="4" count="1" selected="0">
            <x v="10"/>
          </reference>
          <reference field="5" count="1">
            <x v="17"/>
          </reference>
          <reference field="19" count="1" selected="0">
            <x v="15"/>
          </reference>
        </references>
      </pivotArea>
    </format>
    <format dxfId="601">
      <pivotArea dataOnly="0" labelOnly="1" outline="0" fieldPosition="0">
        <references count="3">
          <reference field="4" count="1" selected="0">
            <x v="10"/>
          </reference>
          <reference field="5" count="1">
            <x v="18"/>
          </reference>
          <reference field="19" count="1" selected="0">
            <x v="16"/>
          </reference>
        </references>
      </pivotArea>
    </format>
    <format dxfId="600">
      <pivotArea dataOnly="0" labelOnly="1" outline="0" fieldPosition="0">
        <references count="3">
          <reference field="4" count="1" selected="0">
            <x v="10"/>
          </reference>
          <reference field="5" count="1">
            <x v="51"/>
          </reference>
          <reference field="19" count="1" selected="0">
            <x v="17"/>
          </reference>
        </references>
      </pivotArea>
    </format>
    <format dxfId="599">
      <pivotArea dataOnly="0" labelOnly="1" outline="0" fieldPosition="0">
        <references count="3">
          <reference field="4" count="1" selected="0">
            <x v="10"/>
          </reference>
          <reference field="5" count="1">
            <x v="52"/>
          </reference>
          <reference field="19" count="1" selected="0">
            <x v="18"/>
          </reference>
        </references>
      </pivotArea>
    </format>
    <format dxfId="598">
      <pivotArea dataOnly="0" labelOnly="1" outline="0" fieldPosition="0">
        <references count="3">
          <reference field="4" count="1" selected="0">
            <x v="10"/>
          </reference>
          <reference field="5" count="1">
            <x v="104"/>
          </reference>
          <reference field="19" count="1" selected="0">
            <x v="19"/>
          </reference>
        </references>
      </pivotArea>
    </format>
    <format dxfId="597">
      <pivotArea dataOnly="0" labelOnly="1" outline="0" fieldPosition="0">
        <references count="3">
          <reference field="4" count="1" selected="0">
            <x v="10"/>
          </reference>
          <reference field="5" count="1">
            <x v="64"/>
          </reference>
          <reference field="19" count="1" selected="0">
            <x v="20"/>
          </reference>
        </references>
      </pivotArea>
    </format>
    <format dxfId="596">
      <pivotArea dataOnly="0" labelOnly="1" outline="0" fieldPosition="0">
        <references count="3">
          <reference field="4" count="1" selected="0">
            <x v="10"/>
          </reference>
          <reference field="5" count="1">
            <x v="74"/>
          </reference>
          <reference field="19" count="1" selected="0">
            <x v="81"/>
          </reference>
        </references>
      </pivotArea>
    </format>
    <format dxfId="595">
      <pivotArea dataOnly="0" labelOnly="1" outline="0" fieldPosition="0">
        <references count="3">
          <reference field="4" count="1" selected="0">
            <x v="10"/>
          </reference>
          <reference field="5" count="1">
            <x v="131"/>
          </reference>
          <reference field="19" count="1" selected="0">
            <x v="130"/>
          </reference>
        </references>
      </pivotArea>
    </format>
    <format dxfId="594">
      <pivotArea dataOnly="0" labelOnly="1" outline="0" fieldPosition="0">
        <references count="3">
          <reference field="4" count="1" selected="0">
            <x v="11"/>
          </reference>
          <reference field="5" count="1">
            <x v="59"/>
          </reference>
          <reference field="19" count="1" selected="0">
            <x v="97"/>
          </reference>
        </references>
      </pivotArea>
    </format>
    <format dxfId="593">
      <pivotArea dataOnly="0" labelOnly="1" outline="0" fieldPosition="0">
        <references count="3">
          <reference field="4" count="1" selected="0">
            <x v="11"/>
          </reference>
          <reference field="5" count="1">
            <x v="58"/>
          </reference>
          <reference field="19" count="1" selected="0">
            <x v="98"/>
          </reference>
        </references>
      </pivotArea>
    </format>
    <format dxfId="592">
      <pivotArea dataOnly="0" labelOnly="1" outline="0" fieldPosition="0">
        <references count="3">
          <reference field="4" count="1" selected="0">
            <x v="11"/>
          </reference>
          <reference field="5" count="1">
            <x v="127"/>
          </reference>
          <reference field="19" count="1" selected="0">
            <x v="125"/>
          </reference>
        </references>
      </pivotArea>
    </format>
    <format dxfId="591">
      <pivotArea dataOnly="0" labelOnly="1" outline="0" fieldPosition="0">
        <references count="3">
          <reference field="4" count="1" selected="0">
            <x v="11"/>
          </reference>
          <reference field="5" count="1">
            <x v="128"/>
          </reference>
          <reference field="19" count="1" selected="0">
            <x v="126"/>
          </reference>
        </references>
      </pivotArea>
    </format>
    <format dxfId="590">
      <pivotArea dataOnly="0" labelOnly="1" outline="0" fieldPosition="0">
        <references count="3">
          <reference field="4" count="1" selected="0">
            <x v="12"/>
          </reference>
          <reference field="5" count="1">
            <x v="63"/>
          </reference>
          <reference field="19" count="1" selected="0">
            <x v="103"/>
          </reference>
        </references>
      </pivotArea>
    </format>
    <format dxfId="589">
      <pivotArea dataOnly="0" labelOnly="1" outline="0" fieldPosition="0">
        <references count="3">
          <reference field="4" count="1" selected="0">
            <x v="13"/>
          </reference>
          <reference field="5" count="1">
            <x v="89"/>
          </reference>
          <reference field="19" count="1" selected="0">
            <x v="49"/>
          </reference>
        </references>
      </pivotArea>
    </format>
    <format dxfId="588">
      <pivotArea dataOnly="0" labelOnly="1" outline="0" fieldPosition="0">
        <references count="3">
          <reference field="4" count="1" selected="0">
            <x v="13"/>
          </reference>
          <reference field="5" count="1">
            <x v="90"/>
          </reference>
          <reference field="19" count="1" selected="0">
            <x v="50"/>
          </reference>
        </references>
      </pivotArea>
    </format>
    <format dxfId="587">
      <pivotArea dataOnly="0" labelOnly="1" outline="0" fieldPosition="0">
        <references count="3">
          <reference field="4" count="1" selected="0">
            <x v="14"/>
          </reference>
          <reference field="5" count="1">
            <x v="79"/>
          </reference>
          <reference field="19" count="1" selected="0">
            <x v="21"/>
          </reference>
        </references>
      </pivotArea>
    </format>
    <format dxfId="586">
      <pivotArea dataOnly="0" labelOnly="1" outline="0" fieldPosition="0">
        <references count="3">
          <reference field="4" count="1" selected="0">
            <x v="14"/>
          </reference>
          <reference field="5" count="1">
            <x v="81"/>
          </reference>
          <reference field="19" count="1" selected="0">
            <x v="22"/>
          </reference>
        </references>
      </pivotArea>
    </format>
    <format dxfId="585">
      <pivotArea dataOnly="0" labelOnly="1" outline="0" fieldPosition="0">
        <references count="3">
          <reference field="4" count="1" selected="0">
            <x v="14"/>
          </reference>
          <reference field="5" count="1">
            <x v="35"/>
          </reference>
          <reference field="19" count="1" selected="0">
            <x v="23"/>
          </reference>
        </references>
      </pivotArea>
    </format>
    <format dxfId="584">
      <pivotArea dataOnly="0" labelOnly="1" outline="0" fieldPosition="0">
        <references count="3">
          <reference field="4" count="1" selected="0">
            <x v="14"/>
          </reference>
          <reference field="5" count="1">
            <x v="11"/>
          </reference>
          <reference field="19" count="1" selected="0">
            <x v="24"/>
          </reference>
        </references>
      </pivotArea>
    </format>
    <format dxfId="583">
      <pivotArea dataOnly="0" labelOnly="1" outline="0" fieldPosition="0">
        <references count="3">
          <reference field="4" count="1" selected="0">
            <x v="14"/>
          </reference>
          <reference field="5" count="1">
            <x v="38"/>
          </reference>
          <reference field="19" count="1" selected="0">
            <x v="25"/>
          </reference>
        </references>
      </pivotArea>
    </format>
    <format dxfId="582">
      <pivotArea dataOnly="0" labelOnly="1" outline="0" fieldPosition="0">
        <references count="3">
          <reference field="4" count="1" selected="0">
            <x v="14"/>
          </reference>
          <reference field="5" count="1">
            <x v="80"/>
          </reference>
          <reference field="19" count="1" selected="0">
            <x v="26"/>
          </reference>
        </references>
      </pivotArea>
    </format>
    <format dxfId="581">
      <pivotArea dataOnly="0" labelOnly="1" outline="0" fieldPosition="0">
        <references count="3">
          <reference field="4" count="1" selected="0">
            <x v="14"/>
          </reference>
          <reference field="5" count="1">
            <x v="37"/>
          </reference>
          <reference field="19" count="1" selected="0">
            <x v="27"/>
          </reference>
        </references>
      </pivotArea>
    </format>
    <format dxfId="580">
      <pivotArea dataOnly="0" labelOnly="1" outline="0" fieldPosition="0">
        <references count="3">
          <reference field="4" count="1" selected="0">
            <x v="14"/>
          </reference>
          <reference field="5" count="1">
            <x v="78"/>
          </reference>
          <reference field="19" count="1" selected="0">
            <x v="28"/>
          </reference>
        </references>
      </pivotArea>
    </format>
    <format dxfId="579">
      <pivotArea dataOnly="0" labelOnly="1" outline="0" fieldPosition="0">
        <references count="3">
          <reference field="4" count="1" selected="0">
            <x v="14"/>
          </reference>
          <reference field="5" count="1">
            <x v="100"/>
          </reference>
          <reference field="19" count="1" selected="0">
            <x v="29"/>
          </reference>
        </references>
      </pivotArea>
    </format>
    <format dxfId="578">
      <pivotArea dataOnly="0" labelOnly="1" outline="0" fieldPosition="0">
        <references count="3">
          <reference field="4" count="1" selected="0">
            <x v="14"/>
          </reference>
          <reference field="5" count="1">
            <x v="98"/>
          </reference>
          <reference field="19" count="1" selected="0">
            <x v="30"/>
          </reference>
        </references>
      </pivotArea>
    </format>
    <format dxfId="577">
      <pivotArea dataOnly="0" labelOnly="1" outline="0" fieldPosition="0">
        <references count="3">
          <reference field="4" count="1" selected="0">
            <x v="14"/>
          </reference>
          <reference field="5" count="1">
            <x v="99"/>
          </reference>
          <reference field="19" count="1" selected="0">
            <x v="31"/>
          </reference>
        </references>
      </pivotArea>
    </format>
    <format dxfId="576">
      <pivotArea dataOnly="0" labelOnly="1" outline="0" fieldPosition="0">
        <references count="3">
          <reference field="4" count="1" selected="0">
            <x v="14"/>
          </reference>
          <reference field="5" count="1">
            <x v="40"/>
          </reference>
          <reference field="19" count="1" selected="0">
            <x v="32"/>
          </reference>
        </references>
      </pivotArea>
    </format>
    <format dxfId="575">
      <pivotArea dataOnly="0" labelOnly="1" outline="0" fieldPosition="0">
        <references count="3">
          <reference field="4" count="1" selected="0">
            <x v="14"/>
          </reference>
          <reference field="5" count="1">
            <x v="39"/>
          </reference>
          <reference field="19" count="1" selected="0">
            <x v="33"/>
          </reference>
        </references>
      </pivotArea>
    </format>
    <format dxfId="574">
      <pivotArea dataOnly="0" labelOnly="1" outline="0" fieldPosition="0">
        <references count="3">
          <reference field="4" count="1" selected="0">
            <x v="14"/>
          </reference>
          <reference field="5" count="1">
            <x v="88"/>
          </reference>
          <reference field="19" count="1" selected="0">
            <x v="34"/>
          </reference>
        </references>
      </pivotArea>
    </format>
    <format dxfId="573">
      <pivotArea dataOnly="0" labelOnly="1" outline="0" fieldPosition="0">
        <references count="3">
          <reference field="4" count="1" selected="0">
            <x v="14"/>
          </reference>
          <reference field="5" count="1">
            <x v="4"/>
          </reference>
          <reference field="19" count="1" selected="0">
            <x v="66"/>
          </reference>
        </references>
      </pivotArea>
    </format>
    <format dxfId="572">
      <pivotArea dataOnly="0" labelOnly="1" outline="0" fieldPosition="0">
        <references count="3">
          <reference field="4" count="1" selected="0">
            <x v="14"/>
          </reference>
          <reference field="5" count="1">
            <x v="12"/>
          </reference>
          <reference field="19" count="1" selected="0">
            <x v="67"/>
          </reference>
        </references>
      </pivotArea>
    </format>
    <format dxfId="571">
      <pivotArea dataOnly="0" labelOnly="1" outline="0" fieldPosition="0">
        <references count="3">
          <reference field="4" count="1" selected="0">
            <x v="14"/>
          </reference>
          <reference field="5" count="1">
            <x v="103"/>
          </reference>
          <reference field="19" count="1" selected="0">
            <x v="68"/>
          </reference>
        </references>
      </pivotArea>
    </format>
    <format dxfId="570">
      <pivotArea dataOnly="0" labelOnly="1" outline="0" fieldPosition="0">
        <references count="3">
          <reference field="4" count="1" selected="0">
            <x v="14"/>
          </reference>
          <reference field="5" count="1">
            <x v="36"/>
          </reference>
          <reference field="19" count="1" selected="0">
            <x v="69"/>
          </reference>
        </references>
      </pivotArea>
    </format>
    <format dxfId="569">
      <pivotArea dataOnly="0" labelOnly="1" outline="0" fieldPosition="0">
        <references count="3">
          <reference field="4" count="1" selected="0">
            <x v="14"/>
          </reference>
          <reference field="5" count="1">
            <x v="77"/>
          </reference>
          <reference field="19" count="1" selected="0">
            <x v="80"/>
          </reference>
        </references>
      </pivotArea>
    </format>
    <format dxfId="568">
      <pivotArea dataOnly="0" labelOnly="1" outline="0" fieldPosition="0">
        <references count="3">
          <reference field="4" count="1" selected="0">
            <x v="14"/>
          </reference>
          <reference field="5" count="1">
            <x v="110"/>
          </reference>
          <reference field="19" count="1" selected="0">
            <x v="109"/>
          </reference>
        </references>
      </pivotArea>
    </format>
    <format dxfId="567">
      <pivotArea dataOnly="0" labelOnly="1" outline="0" fieldPosition="0">
        <references count="3">
          <reference field="4" count="1" selected="0">
            <x v="14"/>
          </reference>
          <reference field="5" count="1">
            <x v="130"/>
          </reference>
          <reference field="19" count="1" selected="0">
            <x v="129"/>
          </reference>
        </references>
      </pivotArea>
    </format>
    <format dxfId="566">
      <pivotArea dataOnly="0" labelOnly="1" outline="0" fieldPosition="0">
        <references count="3">
          <reference field="4" count="1" selected="0">
            <x v="14"/>
          </reference>
          <reference field="5" count="1">
            <x v="132"/>
          </reference>
          <reference field="19" count="1" selected="0">
            <x v="131"/>
          </reference>
        </references>
      </pivotArea>
    </format>
    <format dxfId="56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61">
      <pivotArea outline="0" collapsedLevelsAreSubtotals="1" fieldPosition="0"/>
    </format>
    <format dxfId="36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2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4">
    <pivotField showAll="0"/>
    <pivotField showAll="0" defaultSubtotal="0"/>
    <pivotField showAll="0"/>
    <pivotField showAll="0"/>
    <pivotField showAll="0"/>
    <pivotField showAll="0" defaultSubtotal="0"/>
    <pivotField showAll="0" defaultSubtota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0" baseField="2" baseItem="4"/>
    <dataField name="Tarpaulin " fld="11" baseField="2" baseItem="4"/>
    <dataField name="Blanket " fld="12" baseField="2" baseItem="4"/>
    <dataField name="Kitchen Set " fld="13" baseField="2" baseItem="4"/>
    <dataField name="Plastic Bucket " fld="15" baseField="2" baseItem="4"/>
    <dataField name="Plastic Mat " fld="16"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AO18:AP33" firstHeaderRow="1" firstDataRow="1" firstDataCol="1"/>
  <pivotFields count="44">
    <pivotField numFmtId="169" showAll="0"/>
    <pivotField showAll="0"/>
    <pivotField showAll="0"/>
    <pivotField showAll="0"/>
    <pivotField axis="axisRow" dataField="1" showAll="0">
      <items count="16">
        <item x="2"/>
        <item x="13"/>
        <item x="14"/>
        <item x="10"/>
        <item x="9"/>
        <item x="6"/>
        <item x="5"/>
        <item x="7"/>
        <item x="8"/>
        <item x="4"/>
        <item x="12"/>
        <item x="0"/>
        <item x="11"/>
        <item x="3"/>
        <item x="1"/>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Items count="1">
    <i/>
  </colItems>
  <dataFields count="1">
    <dataField name="Count of Township" fld="4"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2"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O4:AP14" firstHeaderRow="1" firstDataRow="1" firstDataCol="1"/>
  <pivotFields count="44">
    <pivotField numFmtId="169" multipleItemSelectionAllowed="1" showAll="0"/>
    <pivotField showAll="0"/>
    <pivotField showAll="0"/>
    <pivotField showAll="0"/>
    <pivotField showAll="0"/>
    <pivotField showAll="0" defaultSubtotal="0"/>
    <pivotField dataField="1"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6" baseField="0" baseItem="1"/>
    <dataField name=" NFI Core Kit" fld="8" baseField="0" baseItem="1"/>
    <dataField name=" Sanitary Kit" fld="9" baseField="0" baseItem="1"/>
    <dataField name=" Mosquito net" fld="10" baseField="0" baseItem="1"/>
    <dataField name=" Tarpaulin" fld="11" baseField="0" baseItem="1"/>
    <dataField name=" Blanket" fld="12" baseField="0" baseItem="1"/>
    <dataField name=" Kitchen Set" fld="13" baseField="0" baseItem="1"/>
    <dataField name=" Plastic Bucket" fld="15" baseField="0" baseItem="1"/>
    <dataField name=" Plastic Mat" fld="16" baseField="0" baseItem="1"/>
    <dataField name=" Solar lamps" fld="22"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7"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2">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59">
      <pivotArea field="0" type="button" dataOnly="0" labelOnly="1" outline="0" axis="axisPage" fieldPosition="0"/>
    </format>
    <format dxfId="1158">
      <pivotArea dataOnly="0" labelOnly="1" outline="0" fieldPosition="0">
        <references count="1">
          <reference field="0" count="0"/>
        </references>
      </pivotArea>
    </format>
    <format dxfId="1157">
      <pivotArea type="all" dataOnly="0" outline="0" fieldPosition="0"/>
    </format>
    <format dxfId="115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 rowHeaderCaption="Agency">
  <location ref="AO34:AP43" firstHeaderRow="1" firstDataRow="1" firstDataCol="1"/>
  <pivotFields count="44">
    <pivotField numFmtId="169" multipleItemSelectionAllowed="1" showAll="0">
      <items count="52">
        <item h="1" x="50"/>
        <item h="1" x="49"/>
        <item h="1" x="48"/>
        <item h="1" x="47"/>
        <item h="1" x="46"/>
        <item h="1" x="45"/>
        <item h="1" x="44"/>
        <item h="1" x="43"/>
        <item h="1" x="42"/>
        <item h="1" x="41"/>
        <item h="1" x="40"/>
        <item h="1" x="39"/>
        <item h="1" x="38"/>
        <item h="1" x="37"/>
        <item h="1" x="36"/>
        <item h="1" x="35"/>
        <item h="1" x="34"/>
        <item h="1" x="33"/>
        <item h="1" x="32"/>
        <item h="1" x="31"/>
        <item h="1" x="30"/>
        <item h="1" x="29"/>
        <item h="1" x="28"/>
        <item h="1" x="27"/>
        <item h="1" x="26"/>
        <item h="1" x="25"/>
        <item h="1" x="24"/>
        <item h="1" x="23"/>
        <item x="22"/>
        <item x="21"/>
        <item x="19"/>
        <item x="20"/>
        <item x="18"/>
        <item x="17"/>
        <item x="16"/>
        <item x="15"/>
        <item x="13"/>
        <item x="12"/>
        <item x="14"/>
        <item x="10"/>
        <item x="11"/>
        <item h="1" x="9"/>
        <item h="1" x="3"/>
        <item h="1" x="4"/>
        <item h="1" x="5"/>
        <item h="1" x="6"/>
        <item h="1" x="7"/>
        <item h="1" x="8"/>
        <item h="1" x="0"/>
        <item h="1" x="1"/>
        <item h="1" x="2"/>
        <item t="default"/>
      </items>
    </pivotField>
    <pivotField axis="axisRow" dataField="1" showAll="0">
      <items count="9">
        <item x="5"/>
        <item x="6"/>
        <item x="2"/>
        <item x="4"/>
        <item x="0"/>
        <item x="1"/>
        <item x="7"/>
        <item x="3"/>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Items count="1">
    <i/>
  </colItems>
  <dataFields count="1">
    <dataField name="# distributions" fld="1" subtotal="count" baseField="0" baseItem="0"/>
  </dataFields>
  <formats count="19">
    <format dxfId="341">
      <pivotArea outline="0" collapsedLevelsAreSubtotals="1" fieldPosition="0"/>
    </format>
    <format dxfId="340">
      <pivotArea dataOnly="0" labelOnly="1" fieldPosition="0">
        <references count="1">
          <reference field="1" count="5">
            <x v="0"/>
            <x v="1"/>
            <x v="2"/>
            <x v="3"/>
            <x v="6"/>
          </reference>
        </references>
      </pivotArea>
    </format>
    <format dxfId="339">
      <pivotArea field="0" type="button" dataOnly="0" labelOnly="1" outline="0"/>
    </format>
    <format dxfId="338">
      <pivotArea field="1" type="button" dataOnly="0" labelOnly="1" outline="0" axis="axisRow" fieldPosition="0"/>
    </format>
    <format dxfId="337">
      <pivotArea dataOnly="0" labelOnly="1" outline="0" fieldPosition="0">
        <references count="1">
          <reference field="4294967294" count="1">
            <x v="0"/>
          </reference>
        </references>
      </pivotArea>
    </format>
    <format dxfId="336">
      <pivotArea field="1" type="button" dataOnly="0" labelOnly="1" outline="0" axis="axisRow" fieldPosition="0"/>
    </format>
    <format dxfId="335">
      <pivotArea dataOnly="0" labelOnly="1" outline="0" fieldPosition="0">
        <references count="1">
          <reference field="4294967294" count="1">
            <x v="0"/>
          </reference>
        </references>
      </pivotArea>
    </format>
    <format dxfId="334">
      <pivotArea dataOnly="0" labelOnly="1" outline="0" fieldPosition="0">
        <references count="1">
          <reference field="4294967294" count="1">
            <x v="0"/>
          </reference>
        </references>
      </pivotArea>
    </format>
    <format dxfId="333">
      <pivotArea type="all" dataOnly="0" outline="0" fieldPosition="0"/>
    </format>
    <format dxfId="332">
      <pivotArea outline="0" collapsedLevelsAreSubtotals="1" fieldPosition="0"/>
    </format>
    <format dxfId="331">
      <pivotArea dataOnly="0" labelOnly="1" outline="0" fieldPosition="0">
        <references count="1">
          <reference field="4294967294" count="1">
            <x v="0"/>
          </reference>
        </references>
      </pivotArea>
    </format>
    <format dxfId="330">
      <pivotArea field="1" grandRow="1" outline="0" collapsedLevelsAreSubtotals="1" axis="axisRow" fieldPosition="0">
        <references count="1">
          <reference field="4294967294" count="1" selected="0">
            <x v="0"/>
          </reference>
        </references>
      </pivotArea>
    </format>
    <format dxfId="329">
      <pivotArea dataOnly="0" labelOnly="1" grandRow="1" outline="0" fieldPosition="0"/>
    </format>
    <format dxfId="328">
      <pivotArea field="1" type="button" dataOnly="0" labelOnly="1" outline="0" axis="axisRow" fieldPosition="0"/>
    </format>
    <format dxfId="327">
      <pivotArea dataOnly="0" labelOnly="1" fieldPosition="0">
        <references count="1">
          <reference field="1" count="5">
            <x v="0"/>
            <x v="1"/>
            <x v="2"/>
            <x v="3"/>
            <x v="6"/>
          </reference>
        </references>
      </pivotArea>
    </format>
    <format dxfId="326">
      <pivotArea outline="0" collapsedLevelsAreSubtotals="1" fieldPosition="0"/>
    </format>
    <format dxfId="325">
      <pivotArea dataOnly="0" labelOnly="1" fieldPosition="0">
        <references count="1">
          <reference field="1" count="5">
            <x v="0"/>
            <x v="1"/>
            <x v="2"/>
            <x v="3"/>
            <x v="6"/>
          </reference>
        </references>
      </pivotArea>
    </format>
    <format dxfId="324">
      <pivotArea grandRow="1" outline="0" collapsedLevelsAreSubtotals="1" fieldPosition="0"/>
    </format>
    <format dxfId="323">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91" firstHeaderRow="0" firstDataRow="1" firstDataCol="1" rowPageCount="2" colPageCount="1"/>
  <pivotFields count="32">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19"/>
  </rowFields>
  <rowItems count="7">
    <i>
      <x/>
    </i>
    <i r="1">
      <x/>
    </i>
    <i r="1">
      <x v="1"/>
    </i>
    <i>
      <x v="1"/>
    </i>
    <i r="1">
      <x/>
    </i>
    <i r="1">
      <x v="1"/>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3">
    <format dxfId="1182">
      <pivotArea type="all" dataOnly="0" outline="0" fieldPosition="0"/>
    </format>
    <format dxfId="1181">
      <pivotArea grandRow="1" outline="0" collapsedLevelsAreSubtotals="1" fieldPosition="0"/>
    </format>
    <format dxfId="1180">
      <pivotArea dataOnly="0" labelOnly="1" grandRow="1" outline="0" fieldPosition="0"/>
    </format>
    <format dxfId="1179">
      <pivotArea outline="0" collapsedLevelsAreSubtotals="1" fieldPosition="0"/>
    </format>
    <format dxfId="1178">
      <pivotArea dataOnly="0" labelOnly="1" fieldPosition="0">
        <references count="1">
          <reference field="0" count="0"/>
        </references>
      </pivotArea>
    </format>
    <format dxfId="1177">
      <pivotArea dataOnly="0" labelOnly="1" grandRow="1" outline="0" fieldPosition="0"/>
    </format>
    <format dxfId="1176">
      <pivotArea field="1" grandRow="1" outline="0" collapsedLevelsAreSubtotals="1" axis="axisRow" fieldPosition="0">
        <references count="1">
          <reference field="4294967294" count="1" selected="0">
            <x v="2"/>
          </reference>
        </references>
      </pivotArea>
    </format>
    <format dxfId="1175">
      <pivotArea field="0" type="button" dataOnly="0" labelOnly="1" outline="0" axis="axisPage" fieldPosition="0"/>
    </format>
    <format dxfId="1174">
      <pivotArea dataOnly="0" labelOnly="1" outline="0" fieldPosition="0">
        <references count="1">
          <reference field="0" count="0"/>
        </references>
      </pivotArea>
    </format>
    <format dxfId="1173">
      <pivotArea field="0" type="button" dataOnly="0" labelOnly="1" outline="0" axis="axisPage" fieldPosition="0"/>
    </format>
    <format dxfId="1172">
      <pivotArea dataOnly="0" labelOnly="1" outline="0" fieldPosition="0">
        <references count="1">
          <reference field="0" count="0"/>
        </references>
      </pivotArea>
    </format>
    <format dxfId="1171">
      <pivotArea collapsedLevelsAreSubtotals="1" fieldPosition="0">
        <references count="1">
          <reference field="1" count="1">
            <x v="0"/>
          </reference>
        </references>
      </pivotArea>
    </format>
    <format dxfId="1170">
      <pivotArea field="1" type="button" dataOnly="0" labelOnly="1" outline="0" axis="axisRow" fieldPosition="0"/>
    </format>
    <format dxfId="1169">
      <pivotArea dataOnly="0" labelOnly="1" fieldPosition="0">
        <references count="1">
          <reference field="1" count="1">
            <x v="0"/>
          </reference>
        </references>
      </pivotArea>
    </format>
    <format dxfId="1168">
      <pivotArea dataOnly="0" labelOnly="1" outline="0" fieldPosition="0">
        <references count="1">
          <reference field="4294967294" count="3">
            <x v="0"/>
            <x v="1"/>
            <x v="2"/>
          </reference>
        </references>
      </pivotArea>
    </format>
    <format dxfId="1167">
      <pivotArea type="all" dataOnly="0" outline="0" fieldPosition="0"/>
    </format>
    <format dxfId="1166">
      <pivotArea collapsedLevelsAreSubtotals="1" fieldPosition="0">
        <references count="3">
          <reference field="4294967294" count="1" selected="0">
            <x v="2"/>
          </reference>
          <reference field="1" count="1" selected="0">
            <x v="0"/>
          </reference>
          <reference field="19" count="1">
            <x v="1"/>
          </reference>
        </references>
      </pivotArea>
    </format>
    <format dxfId="1165">
      <pivotArea collapsedLevelsAreSubtotals="1" fieldPosition="0">
        <references count="2">
          <reference field="4294967294" count="1" selected="0">
            <x v="2"/>
          </reference>
          <reference field="1" count="1">
            <x v="1"/>
          </reference>
        </references>
      </pivotArea>
    </format>
    <format dxfId="1164">
      <pivotArea collapsedLevelsAreSubtotals="1" fieldPosition="0">
        <references count="3">
          <reference field="4294967294" count="1" selected="0">
            <x v="2"/>
          </reference>
          <reference field="1" count="1" selected="0">
            <x v="1"/>
          </reference>
          <reference field="19" count="1">
            <x v="0"/>
          </reference>
        </references>
      </pivotArea>
    </format>
    <format dxfId="1163">
      <pivotArea collapsedLevelsAreSubtotals="1" fieldPosition="0">
        <references count="3">
          <reference field="4294967294" count="1" selected="0">
            <x v="2"/>
          </reference>
          <reference field="1" count="1" selected="0">
            <x v="1"/>
          </reference>
          <reference field="19" count="1">
            <x v="1"/>
          </reference>
        </references>
      </pivotArea>
    </format>
    <format dxfId="1162">
      <pivotArea dataOnly="0" labelOnly="1" outline="0" fieldPosition="0">
        <references count="1">
          <reference field="4294967294" count="1">
            <x v="2"/>
          </reference>
        </references>
      </pivotArea>
    </format>
    <format dxfId="1161">
      <pivotArea dataOnly="0" labelOnly="1" outline="0" fieldPosition="0">
        <references count="1">
          <reference field="4294967294" count="1">
            <x v="1"/>
          </reference>
        </references>
      </pivotArea>
    </format>
    <format dxfId="1160">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7"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2">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5"/>
        <item x="4"/>
        <item x="1"/>
        <item x="21"/>
        <item x="22"/>
        <item x="16"/>
        <item x="15"/>
        <item x="13"/>
        <item x="17"/>
        <item x="7"/>
        <item x="14"/>
        <item x="10"/>
        <item x="11"/>
        <item x="6"/>
        <item x="12"/>
        <item x="0"/>
        <item x="3"/>
        <item x="18"/>
        <item x="9"/>
        <item x="8"/>
        <item x="19"/>
        <item x="2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87">
      <pivotArea type="all" dataOnly="0" outline="0" fieldPosition="0"/>
    </format>
    <format dxfId="1186">
      <pivotArea field="1" type="button" dataOnly="0" labelOnly="1" outline="0" axis="axisPage" fieldPosition="0"/>
    </format>
    <format dxfId="1185">
      <pivotArea dataOnly="0" labelOnly="1" outline="0" fieldPosition="0">
        <references count="1">
          <reference field="4294967294" count="1">
            <x v="0"/>
          </reference>
        </references>
      </pivotArea>
    </format>
    <format dxfId="1184">
      <pivotArea grandRow="1" outline="0" collapsedLevelsAreSubtotals="1" fieldPosition="0"/>
    </format>
    <format dxfId="1183">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7"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2">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1200">
      <pivotArea type="all" dataOnly="0" outline="0" fieldPosition="0"/>
    </format>
    <format dxfId="1199">
      <pivotArea field="1" type="button" dataOnly="0" labelOnly="1" outline="0" axis="axisPage" fieldPosition="0"/>
    </format>
    <format dxfId="1198">
      <pivotArea grandRow="1" outline="0" collapsedLevelsAreSubtotals="1" fieldPosition="0"/>
    </format>
    <format dxfId="1197">
      <pivotArea dataOnly="0" labelOnly="1" grandRow="1" outline="0" fieldPosition="0"/>
    </format>
    <format dxfId="1196">
      <pivotArea outline="0" collapsedLevelsAreSubtotals="1" fieldPosition="0"/>
    </format>
    <format dxfId="1195">
      <pivotArea dataOnly="0" labelOnly="1" fieldPosition="0">
        <references count="1">
          <reference field="0" count="0"/>
        </references>
      </pivotArea>
    </format>
    <format dxfId="1194">
      <pivotArea dataOnly="0" labelOnly="1" grandRow="1" outline="0" fieldPosition="0"/>
    </format>
    <format dxfId="1193">
      <pivotArea type="topRight" dataOnly="0" labelOnly="1" outline="0" fieldPosition="0"/>
    </format>
    <format dxfId="1192">
      <pivotArea type="all" dataOnly="0" outline="0" fieldPosition="0"/>
    </format>
    <format dxfId="1191">
      <pivotArea dataOnly="0" labelOnly="1" outline="0" fieldPosition="0">
        <references count="1">
          <reference field="1" count="0"/>
        </references>
      </pivotArea>
    </format>
    <format dxfId="1190">
      <pivotArea type="all" dataOnly="0" outline="0" fieldPosition="0"/>
    </format>
    <format dxfId="1189">
      <pivotArea collapsedLevelsAreSubtotals="1" fieldPosition="0">
        <references count="1">
          <reference field="0" count="0"/>
        </references>
      </pivotArea>
    </format>
    <format dxfId="1188">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2">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5"/>
        <item x="4"/>
        <item x="1"/>
        <item x="21"/>
        <item x="22"/>
        <item x="16"/>
        <item x="15"/>
        <item x="13"/>
        <item x="17"/>
        <item x="7"/>
        <item x="14"/>
        <item x="10"/>
        <item x="11"/>
        <item x="6"/>
        <item x="12"/>
        <item x="0"/>
        <item x="3"/>
        <item x="18"/>
        <item x="9"/>
        <item x="8"/>
        <item x="19"/>
        <item x="2"/>
        <item x="20"/>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defaultSubtotal="0"/>
    <pivotField showAll="0"/>
    <pivotField showAll="0"/>
    <pivotField showAll="0"/>
    <pivotField showAll="0"/>
    <pivotField showAll="0"/>
    <pivotField showAll="0" defaultSubtota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120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68" firstHeaderRow="0" firstDataRow="1" firstDataCol="5" rowPageCount="1" colPageCount="1"/>
  <pivotFields count="3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3">
        <item x="14"/>
        <item x="147"/>
        <item x="138"/>
        <item x="48"/>
        <item x="145"/>
        <item x="155"/>
        <item x="34"/>
        <item x="163"/>
        <item x="43"/>
        <item x="45"/>
        <item x="57"/>
        <item x="58"/>
        <item x="73"/>
        <item x="139"/>
        <item x="80"/>
        <item x="81"/>
        <item x="82"/>
        <item x="109"/>
        <item x="122"/>
        <item x="83"/>
        <item x="106"/>
        <item x="84"/>
        <item x="41"/>
        <item x="85"/>
        <item x="140"/>
        <item x="119"/>
        <item x="86"/>
        <item x="87"/>
        <item x="226"/>
        <item x="230"/>
        <item x="91"/>
        <item x="27"/>
        <item x="111"/>
        <item x="132"/>
        <item x="160"/>
        <item x="93"/>
        <item x="136"/>
        <item x="97"/>
        <item x="186"/>
        <item x="194"/>
        <item x="42"/>
        <item x="118"/>
        <item x="50"/>
        <item x="173"/>
        <item x="95"/>
        <item x="192"/>
        <item x="15"/>
        <item x="16"/>
        <item x="117"/>
        <item x="98"/>
        <item x="167"/>
        <item x="171"/>
        <item x="174"/>
        <item x="176"/>
        <item x="10"/>
        <item x="76"/>
        <item x="103"/>
        <item x="104"/>
        <item x="44"/>
        <item x="121"/>
        <item x="131"/>
        <item x="107"/>
        <item x="12"/>
        <item x="11"/>
        <item x="165"/>
        <item x="150"/>
        <item x="137"/>
        <item x="47"/>
        <item x="70"/>
        <item x="68"/>
        <item x="69"/>
        <item x="108"/>
        <item x="110"/>
        <item x="113"/>
        <item x="26"/>
        <item x="115"/>
        <item x="63"/>
        <item x="30"/>
        <item x="28"/>
        <item x="39"/>
        <item x="38"/>
        <item x="183"/>
        <item x="188"/>
        <item x="13"/>
        <item x="61"/>
        <item x="7"/>
        <item x="114"/>
        <item x="127"/>
        <item x="62"/>
        <item x="166"/>
        <item x="125"/>
        <item x="195"/>
        <item x="124"/>
        <item x="193"/>
        <item x="126"/>
        <item x="128"/>
        <item x="129"/>
        <item x="96"/>
        <item x="224"/>
        <item x="65"/>
        <item x="130"/>
        <item x="141"/>
        <item x="142"/>
        <item x="143"/>
        <item x="144"/>
        <item x="146"/>
        <item x="148"/>
        <item x="149"/>
        <item x="17"/>
        <item x="18"/>
        <item x="151"/>
        <item x="156"/>
        <item x="157"/>
        <item x="158"/>
        <item x="88"/>
        <item x="159"/>
        <item x="164"/>
        <item x="179"/>
        <item x="55"/>
        <item x="169"/>
        <item x="101"/>
        <item x="90"/>
        <item x="177"/>
        <item x="178"/>
        <item x="92"/>
        <item x="237"/>
        <item x="184"/>
        <item x="180"/>
        <item x="232"/>
        <item x="236"/>
        <item x="49"/>
        <item x="181"/>
        <item x="60"/>
        <item x="182"/>
        <item x="89"/>
        <item x="35"/>
        <item x="233"/>
        <item x="56"/>
        <item x="206"/>
        <item x="54"/>
        <item x="221"/>
        <item x="99"/>
        <item x="94"/>
        <item x="187"/>
        <item x="189"/>
        <item x="191"/>
        <item x="161"/>
        <item x="170"/>
        <item x="225"/>
        <item x="234"/>
        <item x="23"/>
        <item x="52"/>
        <item x="100"/>
        <item x="208"/>
        <item x="222"/>
        <item x="77"/>
        <item x="214"/>
        <item x="32"/>
        <item x="133"/>
        <item x="223"/>
        <item x="227"/>
        <item x="123"/>
        <item x="228"/>
        <item x="1"/>
        <item x="71"/>
        <item x="135"/>
        <item x="120"/>
        <item x="175"/>
        <item x="229"/>
        <item x="162"/>
        <item x="64"/>
        <item x="134"/>
        <item x="31"/>
        <item x="24"/>
        <item x="29"/>
        <item x="25"/>
        <item x="152"/>
        <item x="46"/>
        <item x="231"/>
        <item x="153"/>
        <item x="235"/>
        <item x="190"/>
        <item x="72"/>
        <item x="5"/>
        <item x="6"/>
        <item x="40"/>
        <item x="66"/>
        <item x="67"/>
        <item x="8"/>
        <item x="243"/>
        <item x="79"/>
        <item x="244"/>
        <item x="172"/>
        <item x="53"/>
        <item x="260"/>
        <item x="59"/>
        <item x="0"/>
        <item x="3"/>
        <item x="2"/>
        <item x="4"/>
        <item x="36"/>
        <item x="266"/>
        <item x="267"/>
        <item x="268"/>
        <item x="74"/>
        <item x="37"/>
        <item x="269"/>
        <item x="270"/>
        <item x="154"/>
        <item x="112"/>
        <item x="272"/>
        <item x="273"/>
        <item x="19"/>
        <item x="51"/>
        <item x="102"/>
        <item x="275"/>
        <item x="185"/>
        <item x="196"/>
        <item x="197"/>
        <item x="198"/>
        <item x="168"/>
        <item x="220"/>
        <item x="105"/>
        <item x="116"/>
        <item x="21"/>
        <item x="274"/>
        <item x="199"/>
        <item x="238"/>
        <item x="200"/>
        <item x="201"/>
        <item x="202"/>
        <item x="203"/>
        <item x="204"/>
        <item x="205"/>
        <item x="239"/>
        <item x="207"/>
        <item x="240"/>
        <item x="245"/>
        <item x="246"/>
        <item x="247"/>
        <item x="241"/>
        <item x="242"/>
        <item x="248"/>
        <item x="249"/>
        <item x="33"/>
        <item x="213"/>
        <item x="265"/>
        <item x="215"/>
        <item x="216"/>
        <item x="250"/>
        <item x="251"/>
        <item x="252"/>
        <item x="253"/>
        <item x="254"/>
        <item x="255"/>
        <item x="256"/>
        <item x="257"/>
        <item x="258"/>
        <item x="259"/>
        <item x="261"/>
        <item x="262"/>
        <item x="263"/>
        <item x="264"/>
        <item x="271"/>
        <item x="276"/>
        <item x="277"/>
        <item x="278"/>
        <item x="279"/>
        <item x="280"/>
        <item x="217"/>
        <item x="218"/>
        <item x="219"/>
        <item x="282"/>
        <item x="210"/>
        <item x="211"/>
        <item x="212"/>
        <item x="209"/>
        <item x="9"/>
        <item x="20"/>
        <item x="75"/>
        <item x="78"/>
        <item x="22"/>
        <item x="281"/>
      </items>
      <extLst>
        <ext xmlns:x14="http://schemas.microsoft.com/office/spreadsheetml/2009/9/main" uri="{2946ED86-A175-432a-8AC1-64E0C546D7DE}">
          <x14:pivotField fillDownLabels="1"/>
        </ext>
      </extLst>
    </pivotField>
    <pivotField name="CpPcode" axis="axisRow" compact="0" outline="0" showAll="0" defaultSubtotal="0">
      <items count="284">
        <item x="0"/>
        <item x="1"/>
        <item x="2"/>
        <item x="3"/>
        <item x="4"/>
        <item x="5"/>
        <item x="6"/>
        <item x="7"/>
        <item x="8"/>
        <item x="9"/>
        <item x="10"/>
        <item x="11"/>
        <item x="12"/>
        <item x="13"/>
        <item x="183"/>
        <item x="15"/>
        <item x="16"/>
        <item x="17"/>
        <item x="18"/>
        <item x="19"/>
        <item x="21"/>
        <item x="22"/>
        <item x="23"/>
        <item x="24"/>
        <item x="25"/>
        <item x="26"/>
        <item x="27"/>
        <item x="28"/>
        <item x="29"/>
        <item x="30"/>
        <item x="31"/>
        <item x="222"/>
        <item x="170"/>
        <item x="271"/>
        <item x="35"/>
        <item x="36"/>
        <item x="37"/>
        <item x="38"/>
        <item x="39"/>
        <item x="40"/>
        <item x="41"/>
        <item x="274"/>
        <item x="43"/>
        <item x="90"/>
        <item x="45"/>
        <item x="97"/>
        <item x="46"/>
        <item x="47"/>
        <item x="48"/>
        <item x="49"/>
        <item x="50"/>
        <item x="51"/>
        <item x="52"/>
        <item x="54"/>
        <item x="171"/>
        <item x="128"/>
        <item x="230"/>
        <item x="58"/>
        <item x="59"/>
        <item x="60"/>
        <item x="61"/>
        <item x="62"/>
        <item x="63"/>
        <item x="64"/>
        <item x="65"/>
        <item x="66"/>
        <item x="67"/>
        <item x="68"/>
        <item x="69"/>
        <item x="70"/>
        <item x="71"/>
        <item x="102"/>
        <item x="73"/>
        <item x="74"/>
        <item x="75"/>
        <item x="76"/>
        <item x="78"/>
        <item x="210"/>
        <item x="225"/>
        <item x="229"/>
        <item x="157"/>
        <item x="156"/>
        <item x="83"/>
        <item x="158"/>
        <item x="155"/>
        <item x="87"/>
        <item x="44"/>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2"/>
        <item x="14"/>
        <item x="80"/>
        <item x="33"/>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2"/>
        <item x="56"/>
        <item x="57"/>
        <item x="94"/>
        <item x="185"/>
        <item x="245"/>
        <item x="216"/>
        <item x="112"/>
        <item x="246"/>
        <item x="190"/>
        <item x="268"/>
        <item x="192"/>
        <item x="82"/>
        <item x="194"/>
        <item x="195"/>
        <item x="196"/>
        <item x="197"/>
        <item x="34"/>
        <item x="53"/>
        <item x="55"/>
        <item x="88"/>
        <item x="89"/>
        <item x="91"/>
        <item x="93"/>
        <item x="95"/>
        <item x="96"/>
        <item x="98"/>
        <item x="100"/>
        <item x="172"/>
        <item x="173"/>
        <item x="176"/>
        <item x="178"/>
        <item x="181"/>
        <item x="186"/>
        <item x="187"/>
        <item x="188"/>
        <item x="208"/>
        <item x="223"/>
        <item x="224"/>
        <item x="226"/>
        <item x="227"/>
        <item x="228"/>
        <item x="232"/>
        <item x="234"/>
        <item x="235"/>
        <item x="236"/>
        <item x="238"/>
        <item x="239"/>
        <item x="198"/>
        <item x="199"/>
        <item x="200"/>
        <item x="240"/>
        <item x="201"/>
        <item x="202"/>
        <item x="203"/>
        <item x="204"/>
        <item x="205"/>
        <item x="206"/>
        <item x="207"/>
        <item x="241"/>
        <item x="209"/>
        <item x="179"/>
        <item x="242"/>
        <item x="243"/>
        <item x="244"/>
        <item x="247"/>
        <item x="248"/>
        <item x="249"/>
        <item x="250"/>
        <item x="251"/>
        <item x="32"/>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 x="20"/>
        <item x="77"/>
      </items>
      <extLst>
        <ext xmlns:x14="http://schemas.microsoft.com/office/spreadsheetml/2009/9/main" uri="{2946ED86-A175-432a-8AC1-64E0C546D7DE}">
          <x14:pivotField fillDownLabels="1"/>
        </ext>
      </extLst>
    </pivotField>
    <pivotField axis="axisRow" compact="0" outline="0" showAll="0" defaultSubtotal="0">
      <items count="203">
        <item x="123"/>
        <item x="125"/>
        <item x="90"/>
        <item x="127"/>
        <item x="199"/>
        <item x="86"/>
        <item x="111"/>
        <item x="163"/>
        <item x="180"/>
        <item x="201"/>
        <item x="129"/>
        <item x="117"/>
        <item x="130"/>
        <item x="128"/>
        <item x="75"/>
        <item x="131"/>
        <item x="41"/>
        <item x="84"/>
        <item x="124"/>
        <item x="121"/>
        <item x="119"/>
        <item x="120"/>
        <item x="126"/>
        <item x="72"/>
        <item x="152"/>
        <item x="122"/>
        <item x="133"/>
        <item x="14"/>
        <item x="113"/>
        <item x="70"/>
        <item x="71"/>
        <item x="112"/>
        <item x="138"/>
        <item x="60"/>
        <item x="150"/>
        <item x="68"/>
        <item x="67"/>
        <item x="69"/>
        <item x="178"/>
        <item x="80"/>
        <item x="158"/>
        <item x="149"/>
        <item x="82"/>
        <item x="154"/>
        <item x="50"/>
        <item x="116"/>
        <item x="43"/>
        <item x="46"/>
        <item x="47"/>
        <item x="45"/>
        <item x="197"/>
        <item x="44"/>
        <item x="48"/>
        <item x="132"/>
        <item x="137"/>
        <item x="17"/>
        <item x="18"/>
        <item x="59"/>
        <item x="135"/>
        <item x="49"/>
        <item x="56"/>
        <item x="55"/>
        <item x="139"/>
        <item x="51"/>
        <item x="31"/>
        <item x="110"/>
        <item x="141"/>
        <item x="181"/>
        <item x="136"/>
        <item x="15"/>
        <item x="153"/>
        <item x="2"/>
        <item x="16"/>
        <item x="4"/>
        <item x="9"/>
        <item x="0"/>
        <item x="3"/>
        <item x="1"/>
        <item x="179"/>
        <item x="5"/>
        <item x="11"/>
        <item x="19"/>
        <item x="142"/>
        <item x="26"/>
        <item x="10"/>
        <item x="54"/>
        <item x="12"/>
        <item x="57"/>
        <item x="13"/>
        <item x="66"/>
        <item x="53"/>
        <item x="6"/>
        <item x="7"/>
        <item x="8"/>
        <item x="140"/>
        <item x="36"/>
        <item x="34"/>
        <item x="58"/>
        <item x="24"/>
        <item x="29"/>
        <item x="115"/>
        <item x="37"/>
        <item x="28"/>
        <item x="27"/>
        <item x="198"/>
        <item x="23"/>
        <item x="30"/>
        <item x="35"/>
        <item x="25"/>
        <item x="101"/>
        <item x="145"/>
        <item x="94"/>
        <item x="109"/>
        <item x="89"/>
        <item x="161"/>
        <item x="99"/>
        <item x="144"/>
        <item x="100"/>
        <item x="162"/>
        <item x="106"/>
        <item x="174"/>
        <item x="91"/>
        <item x="95"/>
        <item x="108"/>
        <item x="107"/>
        <item x="164"/>
        <item x="88"/>
        <item x="74"/>
        <item x="104"/>
        <item x="103"/>
        <item x="105"/>
        <item x="33"/>
        <item x="52"/>
        <item x="173"/>
        <item x="76"/>
        <item x="183"/>
        <item x="184"/>
        <item x="65"/>
        <item x="96"/>
        <item x="97"/>
        <item x="62"/>
        <item x="63"/>
        <item x="64"/>
        <item x="61"/>
        <item x="98"/>
        <item x="102"/>
        <item x="200"/>
        <item x="151"/>
        <item x="93"/>
        <item x="79"/>
        <item x="156"/>
        <item x="73"/>
        <item x="143"/>
        <item x="182"/>
        <item x="185"/>
        <item x="92"/>
        <item x="146"/>
        <item x="148"/>
        <item x="114"/>
        <item x="38"/>
        <item x="77"/>
        <item x="157"/>
        <item x="81"/>
        <item x="83"/>
        <item x="87"/>
        <item x="155"/>
        <item x="78"/>
        <item x="85"/>
        <item x="177"/>
        <item x="42"/>
        <item x="40"/>
        <item x="20"/>
        <item x="166"/>
        <item x="167"/>
        <item x="159"/>
        <item x="39"/>
        <item x="134"/>
        <item x="147"/>
        <item x="160"/>
        <item x="22"/>
        <item x="168"/>
        <item x="187"/>
        <item x="170"/>
        <item x="171"/>
        <item x="172"/>
        <item x="188"/>
        <item x="165"/>
        <item x="189"/>
        <item x="192"/>
        <item x="191"/>
        <item x="195"/>
        <item x="186"/>
        <item x="190"/>
        <item x="169"/>
        <item x="194"/>
        <item x="32"/>
        <item x="21"/>
        <item x="193"/>
        <item x="196"/>
        <item x="202"/>
        <item x="118"/>
        <item x="175"/>
        <item x="17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1"/>
        <item x="2"/>
        <item x="6"/>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65">
    <i>
      <x v="2"/>
      <x v="136"/>
      <x v="200"/>
      <x/>
      <x v="2"/>
    </i>
    <i>
      <x v="3"/>
      <x v="47"/>
      <x v="49"/>
      <x/>
      <x v="1"/>
    </i>
    <i>
      <x v="4"/>
      <x v="144"/>
      <x v="19"/>
      <x/>
      <x v="3"/>
    </i>
    <i>
      <x v="5"/>
      <x v="157"/>
      <x v="13"/>
      <x/>
      <x v="3"/>
    </i>
    <i>
      <x v="7"/>
      <x v="161"/>
      <x v="53"/>
      <x/>
      <x/>
    </i>
    <i>
      <x v="13"/>
      <x v="137"/>
      <x v="20"/>
      <x/>
      <x/>
    </i>
    <i>
      <x v="17"/>
      <x v="106"/>
      <x v="155"/>
      <x v="1"/>
      <x v="2"/>
    </i>
    <i>
      <x v="18"/>
      <x v="119"/>
      <x v="128"/>
      <x v="1"/>
      <x v="1"/>
    </i>
    <i>
      <x v="20"/>
      <x v="103"/>
      <x v="2"/>
      <x/>
      <x v="3"/>
    </i>
    <i>
      <x v="22"/>
      <x v="39"/>
      <x v="175"/>
      <x/>
      <x v="3"/>
    </i>
    <i>
      <x v="24"/>
      <x v="142"/>
      <x v="21"/>
      <x/>
      <x v="3"/>
    </i>
    <i>
      <x v="25"/>
      <x v="116"/>
      <x v="109"/>
      <x v="1"/>
      <x v="2"/>
    </i>
    <i>
      <x v="31"/>
      <x v="25"/>
      <x v="83"/>
      <x/>
      <x v="3"/>
    </i>
    <i>
      <x v="32"/>
      <x v="108"/>
      <x v="148"/>
      <x v="1"/>
      <x/>
    </i>
    <i>
      <x v="33"/>
      <x v="129"/>
      <x v="31"/>
      <x/>
      <x/>
    </i>
    <i>
      <x v="34"/>
      <x v="158"/>
      <x v="12"/>
      <x/>
      <x v="3"/>
    </i>
    <i>
      <x v="36"/>
      <x v="134"/>
      <x v="45"/>
      <x/>
      <x v="4"/>
    </i>
    <i r="1">
      <x v="163"/>
      <x v="58"/>
      <x/>
      <x v="4"/>
    </i>
    <i r="1">
      <x v="164"/>
      <x v="68"/>
      <x/>
      <x v="4"/>
    </i>
    <i>
      <x v="38"/>
      <x v="214"/>
      <x v="161"/>
      <x/>
      <x v="4"/>
    </i>
    <i>
      <x v="39"/>
      <x v="194"/>
      <x v="7"/>
      <x/>
      <x/>
    </i>
    <i>
      <x v="40"/>
      <x v="40"/>
      <x v="170"/>
      <x v="1"/>
      <x/>
    </i>
    <i>
      <x v="41"/>
      <x v="115"/>
      <x v="117"/>
      <x v="1"/>
      <x v="2"/>
    </i>
    <i>
      <x v="42"/>
      <x v="49"/>
      <x v="48"/>
      <x/>
      <x/>
    </i>
    <i>
      <x v="43"/>
      <x v="173"/>
      <x v="110"/>
      <x v="1"/>
      <x v="4"/>
    </i>
    <i>
      <x v="45"/>
      <x v="192"/>
      <x v="114"/>
      <x/>
      <x v="4"/>
    </i>
    <i>
      <x v="46"/>
      <x v="15"/>
      <x v="69"/>
      <x/>
      <x/>
    </i>
    <i>
      <x v="47"/>
      <x v="16"/>
      <x v="72"/>
      <x/>
      <x v="2"/>
    </i>
    <i>
      <x v="48"/>
      <x v="114"/>
      <x v="115"/>
      <x v="1"/>
      <x v="2"/>
    </i>
    <i>
      <x v="50"/>
      <x v="167"/>
      <x v="62"/>
      <x/>
      <x v="4"/>
    </i>
    <i>
      <x v="52"/>
      <x v="209"/>
      <x v="156"/>
      <x/>
      <x/>
    </i>
    <i>
      <x v="53"/>
      <x v="210"/>
      <x v="157"/>
      <x/>
      <x v="5"/>
    </i>
    <i>
      <x v="54"/>
      <x v="10"/>
      <x v="84"/>
      <x/>
      <x/>
    </i>
    <i>
      <x v="55"/>
      <x v="74"/>
      <x v="35"/>
      <x/>
      <x/>
    </i>
    <i>
      <x v="59"/>
      <x v="118"/>
      <x v="129"/>
      <x v="1"/>
      <x v="1"/>
    </i>
    <i>
      <x v="60"/>
      <x v="128"/>
      <x v="171"/>
      <x/>
      <x v="4"/>
    </i>
    <i>
      <x v="62"/>
      <x v="12"/>
      <x v="86"/>
      <x/>
      <x/>
    </i>
    <i>
      <x v="63"/>
      <x v="11"/>
      <x v="80"/>
      <x/>
      <x/>
    </i>
    <i>
      <x v="64"/>
      <x v="162"/>
      <x v="176"/>
      <x/>
      <x v="3"/>
    </i>
    <i>
      <x v="65"/>
      <x v="149"/>
      <x/>
      <x/>
      <x v="3"/>
    </i>
    <i>
      <x v="66"/>
      <x v="135"/>
      <x v="11"/>
      <x/>
      <x v="3"/>
    </i>
    <i>
      <x v="67"/>
      <x v="46"/>
      <x v="51"/>
      <x/>
      <x v="3"/>
    </i>
    <i>
      <x v="68"/>
      <x v="68"/>
      <x v="141"/>
      <x/>
      <x/>
    </i>
    <i>
      <x v="69"/>
      <x v="66"/>
      <x v="143"/>
      <x/>
      <x v="1"/>
    </i>
    <i>
      <x v="70"/>
      <x v="67"/>
      <x v="140"/>
      <x/>
      <x/>
    </i>
    <i>
      <x v="74"/>
      <x v="24"/>
      <x v="108"/>
      <x/>
      <x/>
    </i>
    <i>
      <x v="75"/>
      <x v="112"/>
      <x v="139"/>
      <x v="1"/>
      <x v="2"/>
    </i>
    <i>
      <x v="77"/>
      <x v="28"/>
      <x v="99"/>
      <x/>
      <x v="3"/>
    </i>
    <i>
      <x v="78"/>
      <x v="26"/>
      <x v="103"/>
      <x/>
      <x v="2"/>
    </i>
    <i>
      <x v="79"/>
      <x v="37"/>
      <x v="101"/>
      <x/>
      <x/>
    </i>
    <i>
      <x v="80"/>
      <x v="36"/>
      <x v="95"/>
      <x/>
      <x/>
    </i>
    <i>
      <x v="81"/>
      <x v="183"/>
      <x v="43"/>
      <x/>
      <x/>
    </i>
    <i>
      <x v="82"/>
      <x v="188"/>
      <x v="174"/>
      <x/>
      <x v="1"/>
    </i>
    <i>
      <x v="83"/>
      <x v="13"/>
      <x v="88"/>
      <x/>
      <x/>
    </i>
    <i>
      <x v="84"/>
      <x v="59"/>
      <x v="61"/>
      <x/>
      <x v="1"/>
    </i>
    <i>
      <x v="85"/>
      <x v="7"/>
      <x v="92"/>
      <x/>
      <x/>
    </i>
    <i>
      <x v="90"/>
      <x v="122"/>
      <x v="124"/>
      <x/>
      <x/>
    </i>
    <i>
      <x v="91"/>
      <x v="195"/>
      <x v="125"/>
      <x/>
      <x/>
    </i>
    <i>
      <x v="92"/>
      <x v="121"/>
      <x v="119"/>
      <x/>
      <x v="1"/>
    </i>
    <i>
      <x v="93"/>
      <x v="193"/>
      <x v="118"/>
      <x/>
      <x v="1"/>
    </i>
    <i>
      <x v="94"/>
      <x v="123"/>
      <x v="123"/>
      <x/>
      <x v="4"/>
    </i>
    <i>
      <x v="97"/>
      <x v="203"/>
      <x v="39"/>
      <x/>
      <x/>
    </i>
    <i>
      <x v="98"/>
      <x v="218"/>
      <x v="38"/>
      <x/>
      <x v="5"/>
    </i>
    <i>
      <x v="99"/>
      <x v="63"/>
      <x v="57"/>
      <x/>
      <x/>
    </i>
    <i>
      <x v="108"/>
      <x v="17"/>
      <x v="55"/>
      <x/>
      <x v="3"/>
    </i>
    <i>
      <x v="109"/>
      <x v="18"/>
      <x v="56"/>
      <x/>
      <x v="3"/>
    </i>
    <i>
      <x v="114"/>
      <x v="85"/>
      <x v="14"/>
      <x/>
      <x v="3"/>
    </i>
    <i>
      <x v="117"/>
      <x v="211"/>
      <x v="147"/>
      <x/>
      <x/>
    </i>
    <i>
      <x v="118"/>
      <x v="53"/>
      <x v="63"/>
      <x/>
      <x/>
    </i>
    <i>
      <x v="124"/>
      <x v="201"/>
      <x v="166"/>
      <x/>
      <x/>
    </i>
    <i>
      <x v="125"/>
      <x v="226"/>
      <x v="191"/>
      <x/>
      <x v="5"/>
    </i>
    <i>
      <x v="128"/>
      <x v="222"/>
      <x v="153"/>
      <x/>
      <x/>
    </i>
    <i>
      <x v="129"/>
      <x v="225"/>
      <x v="154"/>
      <x/>
      <x v="5"/>
    </i>
    <i>
      <x v="130"/>
      <x v="48"/>
      <x v="47"/>
      <x/>
      <x v="3"/>
    </i>
    <i>
      <x v="132"/>
      <x v="58"/>
      <x v="85"/>
      <x/>
      <x v="4"/>
    </i>
    <i>
      <x v="134"/>
      <x v="199"/>
      <x v="134"/>
      <x/>
      <x/>
    </i>
    <i>
      <x v="135"/>
      <x v="196"/>
      <x v="131"/>
      <x/>
      <x/>
    </i>
    <i>
      <x v="136"/>
      <x v="223"/>
      <x v="135"/>
      <x/>
      <x/>
    </i>
    <i>
      <x v="137"/>
      <x v="198"/>
      <x v="132"/>
      <x/>
      <x v="5"/>
    </i>
    <i>
      <x v="142"/>
      <x v="202"/>
      <x v="149"/>
      <x/>
      <x/>
    </i>
    <i>
      <x v="146"/>
      <x v="159"/>
      <x v="15"/>
      <x/>
      <x v="3"/>
    </i>
    <i>
      <x v="147"/>
      <x v="207"/>
      <x v="82"/>
      <x/>
      <x/>
    </i>
    <i>
      <x v="149"/>
      <x v="224"/>
      <x v="136"/>
      <x/>
      <x/>
    </i>
    <i>
      <x v="150"/>
      <x v="21"/>
      <x v="179"/>
      <x/>
      <x v="2"/>
    </i>
    <i>
      <x v="151"/>
      <x v="51"/>
      <x v="59"/>
      <x/>
      <x v="1"/>
    </i>
    <i>
      <x v="152"/>
      <x v="97"/>
      <x v="17"/>
      <x/>
      <x v="2"/>
    </i>
    <i>
      <x v="154"/>
      <x v="217"/>
      <x v="168"/>
      <x v="1"/>
      <x v="4"/>
    </i>
    <i>
      <x v="155"/>
      <x v="75"/>
      <x v="37"/>
      <x/>
      <x/>
    </i>
    <i>
      <x v="157"/>
      <x v="30"/>
      <x v="64"/>
      <x/>
      <x v="3"/>
    </i>
    <i>
      <x v="158"/>
      <x v="130"/>
      <x v="28"/>
      <x/>
      <x/>
    </i>
    <i>
      <x v="161"/>
      <x v="120"/>
      <x v="130"/>
      <x v="1"/>
      <x v="1"/>
    </i>
    <i>
      <x v="163"/>
      <x v="1"/>
      <x v="77"/>
      <x/>
      <x/>
    </i>
    <i>
      <x v="164"/>
      <x v="69"/>
      <x v="142"/>
      <x/>
      <x/>
    </i>
    <i>
      <x v="165"/>
      <x v="133"/>
      <x v="100"/>
      <x/>
      <x v="2"/>
    </i>
    <i>
      <x v="166"/>
      <x v="117"/>
      <x v="145"/>
      <x v="1"/>
      <x v="1"/>
    </i>
    <i>
      <x v="167"/>
      <x v="175"/>
      <x v="177"/>
      <x/>
      <x v="2"/>
    </i>
    <i>
      <x v="169"/>
      <x v="160"/>
      <x v="53"/>
      <x/>
      <x/>
    </i>
    <i>
      <x v="171"/>
      <x v="132"/>
      <x v="158"/>
      <x v="1"/>
      <x v="2"/>
    </i>
    <i>
      <x v="172"/>
      <x v="29"/>
      <x v="106"/>
      <x/>
      <x v="3"/>
    </i>
    <i>
      <x v="173"/>
      <x v="22"/>
      <x v="105"/>
      <x/>
      <x/>
    </i>
    <i>
      <x v="174"/>
      <x v="27"/>
      <x v="102"/>
      <x/>
      <x v="3"/>
    </i>
    <i>
      <x v="175"/>
      <x v="23"/>
      <x v="98"/>
      <x/>
      <x v="3"/>
    </i>
    <i>
      <x v="176"/>
      <x v="150"/>
      <x v="1"/>
      <x/>
      <x v="3"/>
    </i>
    <i>
      <x v="177"/>
      <x v="44"/>
      <x v="46"/>
      <x/>
      <x/>
    </i>
    <i>
      <x v="179"/>
      <x v="151"/>
      <x v="22"/>
      <x/>
      <x/>
    </i>
    <i>
      <x v="181"/>
      <x v="190"/>
      <x v="178"/>
      <x/>
      <x v="2"/>
    </i>
    <i>
      <x v="182"/>
      <x v="70"/>
      <x v="137"/>
      <x/>
      <x/>
    </i>
    <i>
      <x v="183"/>
      <x v="5"/>
      <x v="79"/>
      <x/>
      <x/>
    </i>
    <i>
      <x v="184"/>
      <x v="6"/>
      <x v="91"/>
      <x/>
      <x v="3"/>
    </i>
    <i>
      <x v="185"/>
      <x v="38"/>
      <x v="159"/>
      <x/>
      <x/>
    </i>
    <i>
      <x v="186"/>
      <x v="64"/>
      <x v="33"/>
      <x/>
      <x/>
    </i>
    <i>
      <x v="187"/>
      <x v="65"/>
      <x v="33"/>
      <x/>
      <x v="1"/>
    </i>
    <i>
      <x v="188"/>
      <x v="8"/>
      <x v="93"/>
      <x/>
      <x/>
    </i>
    <i>
      <x v="190"/>
      <x v="76"/>
      <x v="29"/>
      <x/>
      <x v="2"/>
    </i>
    <i>
      <x v="192"/>
      <x v="172"/>
      <x v="116"/>
      <x/>
      <x v="4"/>
    </i>
    <i>
      <x v="193"/>
      <x v="52"/>
      <x v="44"/>
      <x/>
      <x v="3"/>
    </i>
    <i>
      <x v="196"/>
      <x/>
      <x v="75"/>
      <x/>
      <x/>
    </i>
    <i>
      <x v="197"/>
      <x v="3"/>
      <x v="76"/>
      <x/>
      <x v="3"/>
    </i>
    <i>
      <x v="198"/>
      <x v="2"/>
      <x v="71"/>
      <x/>
      <x/>
    </i>
    <i>
      <x v="199"/>
      <x v="4"/>
      <x v="73"/>
      <x/>
      <x/>
    </i>
    <i>
      <x v="200"/>
      <x v="34"/>
      <x v="96"/>
      <x/>
      <x v="3"/>
    </i>
    <i>
      <x v="204"/>
      <x v="72"/>
      <x v="89"/>
      <x/>
      <x v="4"/>
    </i>
    <i>
      <x v="205"/>
      <x v="35"/>
      <x v="107"/>
      <x/>
      <x v="3"/>
    </i>
    <i>
      <x v="208"/>
      <x v="152"/>
      <x v="3"/>
      <x/>
      <x/>
    </i>
    <i>
      <x v="209"/>
      <x v="109"/>
      <x v="111"/>
      <x v="1"/>
      <x v="2"/>
    </i>
    <i>
      <x v="213"/>
      <x v="50"/>
      <x v="52"/>
      <x/>
      <x v="3"/>
    </i>
    <i>
      <x v="214"/>
      <x v="99"/>
      <x v="5"/>
      <x/>
      <x/>
    </i>
    <i>
      <x v="216"/>
      <x v="213"/>
      <x v="150"/>
      <x/>
      <x/>
    </i>
    <i>
      <x v="218"/>
      <x v="228"/>
      <x v="172"/>
      <x/>
      <x v="4"/>
    </i>
    <i>
      <x v="219"/>
      <x v="229"/>
      <x v="173"/>
      <x/>
      <x v="4"/>
    </i>
    <i>
      <x v="223"/>
      <x v="113"/>
      <x v="144"/>
      <x v="1"/>
      <x/>
    </i>
    <i>
      <x v="224"/>
      <x v="20"/>
      <x v="196"/>
      <x/>
      <x v="3"/>
    </i>
    <i>
      <x v="226"/>
      <x v="231"/>
      <x v="180"/>
      <x/>
      <x/>
    </i>
    <i>
      <x v="227"/>
      <x v="230"/>
      <x v="181"/>
      <x/>
      <x/>
    </i>
    <i>
      <x v="229"/>
      <x v="233"/>
      <x v="193"/>
      <x/>
      <x/>
    </i>
    <i>
      <x v="230"/>
      <x v="234"/>
      <x v="36"/>
      <x/>
      <x v="4"/>
    </i>
    <i>
      <x v="231"/>
      <x v="235"/>
      <x v="182"/>
      <x v="1"/>
      <x/>
    </i>
    <i>
      <x v="232"/>
      <x v="236"/>
      <x v="183"/>
      <x v="1"/>
      <x/>
    </i>
    <i>
      <x v="234"/>
      <x v="238"/>
      <x v="185"/>
      <x/>
      <x v="4"/>
    </i>
    <i>
      <x v="236"/>
      <x v="241"/>
      <x v="187"/>
      <x/>
      <x/>
    </i>
    <i>
      <x v="238"/>
      <x v="245"/>
      <x v="188"/>
      <x/>
      <x v="4"/>
    </i>
    <i>
      <x v="239"/>
      <x v="246"/>
      <x v="197"/>
      <x/>
      <x v="4"/>
    </i>
    <i>
      <x v="240"/>
      <x v="242"/>
      <x v="192"/>
      <x/>
      <x v="4"/>
    </i>
    <i>
      <x v="241"/>
      <x v="243"/>
      <x v="171"/>
      <x/>
      <x v="4"/>
    </i>
    <i>
      <x v="243"/>
      <x v="248"/>
      <x v="190"/>
      <x/>
      <x v="4"/>
    </i>
    <i>
      <x v="245"/>
      <x v="250"/>
      <x v="195"/>
      <x/>
      <x/>
    </i>
    <i>
      <x v="247"/>
      <x v="252"/>
      <x v="195"/>
      <x/>
      <x v="2"/>
    </i>
    <i>
      <x v="248"/>
      <x v="253"/>
      <x v="195"/>
      <x/>
      <x v="2"/>
    </i>
    <i>
      <x v="253"/>
      <x v="258"/>
      <x v="171"/>
      <x/>
      <x v="5"/>
    </i>
    <i>
      <x v="265"/>
      <x v="270"/>
      <x v="199"/>
      <x/>
      <x v="4"/>
    </i>
    <i>
      <x v="266"/>
      <x v="271"/>
      <x v="157"/>
      <x/>
      <x/>
    </i>
    <i>
      <x v="267"/>
      <x v="272"/>
      <x v="171"/>
      <x/>
      <x v="4"/>
    </i>
    <i>
      <x v="268"/>
      <x v="273"/>
      <x v="161"/>
      <x/>
      <x/>
    </i>
    <i>
      <x v="269"/>
      <x v="274"/>
      <x v="201"/>
      <x/>
      <x v="4"/>
    </i>
    <i>
      <x v="270"/>
      <x v="275"/>
      <x v="171"/>
      <x v="1"/>
      <x/>
    </i>
    <i>
      <x v="271"/>
      <x v="276"/>
      <x v="171"/>
      <x/>
      <x/>
    </i>
    <i>
      <x v="272"/>
      <x v="277"/>
      <x v="198"/>
      <x/>
      <x v="5"/>
    </i>
    <i>
      <x v="273"/>
      <x v="279"/>
      <x v="171"/>
      <x/>
      <x v="4"/>
    </i>
    <i>
      <x v="274"/>
      <x v="280"/>
      <x v="171"/>
      <x/>
      <x v="4"/>
    </i>
    <i>
      <x v="275"/>
      <x v="281"/>
      <x v="171"/>
      <x/>
      <x v="4"/>
    </i>
    <i>
      <x v="276"/>
      <x v="278"/>
      <x v="171"/>
      <x/>
      <x v="4"/>
    </i>
    <i>
      <x v="277"/>
      <x v="9"/>
      <x v="74"/>
      <x/>
      <x/>
    </i>
    <i>
      <x v="278"/>
      <x v="282"/>
      <x v="171"/>
      <x/>
      <x v="6"/>
    </i>
    <i>
      <x v="279"/>
      <x v="73"/>
      <x v="36"/>
      <x/>
      <x/>
    </i>
    <i>
      <x v="282"/>
      <x v="282"/>
      <x v="171"/>
      <x/>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17"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196" firstHeaderRow="0" firstDataRow="1" firstDataCol="6" rowPageCount="2" colPageCount="1"/>
  <pivotFields count="32">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5"/>
        <item x="4"/>
        <item x="1"/>
        <item x="21"/>
        <item x="16"/>
        <item x="15"/>
        <item x="13"/>
        <item x="17"/>
        <item x="7"/>
        <item x="14"/>
        <item x="10"/>
        <item x="11"/>
        <item x="6"/>
        <item x="12"/>
        <item x="0"/>
        <item x="3"/>
        <item x="18"/>
        <item x="9"/>
        <item x="8"/>
        <item x="19"/>
        <item x="2"/>
        <item x="22"/>
        <item x="20"/>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83">
        <item x="14"/>
        <item x="147"/>
        <item x="138"/>
        <item x="48"/>
        <item x="145"/>
        <item x="155"/>
        <item x="34"/>
        <item x="163"/>
        <item x="43"/>
        <item x="45"/>
        <item x="57"/>
        <item x="58"/>
        <item x="73"/>
        <item x="139"/>
        <item x="80"/>
        <item x="81"/>
        <item x="82"/>
        <item x="109"/>
        <item x="122"/>
        <item x="106"/>
        <item x="84"/>
        <item x="41"/>
        <item x="85"/>
        <item x="140"/>
        <item x="119"/>
        <item x="86"/>
        <item x="87"/>
        <item x="226"/>
        <item x="230"/>
        <item x="91"/>
        <item x="27"/>
        <item x="111"/>
        <item x="132"/>
        <item x="160"/>
        <item x="93"/>
        <item x="136"/>
        <item x="97"/>
        <item x="186"/>
        <item x="42"/>
        <item x="118"/>
        <item x="50"/>
        <item x="173"/>
        <item x="95"/>
        <item x="15"/>
        <item x="16"/>
        <item x="117"/>
        <item x="98"/>
        <item x="167"/>
        <item x="171"/>
        <item x="174"/>
        <item x="176"/>
        <item x="10"/>
        <item x="76"/>
        <item x="103"/>
        <item x="104"/>
        <item x="44"/>
        <item x="121"/>
        <item x="131"/>
        <item x="107"/>
        <item x="12"/>
        <item x="11"/>
        <item x="165"/>
        <item x="150"/>
        <item x="137"/>
        <item x="47"/>
        <item x="70"/>
        <item x="68"/>
        <item x="69"/>
        <item x="108"/>
        <item x="110"/>
        <item x="113"/>
        <item x="26"/>
        <item x="115"/>
        <item x="63"/>
        <item x="30"/>
        <item x="28"/>
        <item x="39"/>
        <item x="38"/>
        <item x="183"/>
        <item x="13"/>
        <item x="61"/>
        <item x="7"/>
        <item x="114"/>
        <item x="127"/>
        <item x="62"/>
        <item x="166"/>
        <item x="125"/>
        <item x="124"/>
        <item x="126"/>
        <item x="128"/>
        <item x="129"/>
        <item x="96"/>
        <item x="224"/>
        <item x="65"/>
        <item x="130"/>
        <item x="141"/>
        <item x="142"/>
        <item x="143"/>
        <item x="144"/>
        <item x="146"/>
        <item x="148"/>
        <item x="149"/>
        <item x="17"/>
        <item x="18"/>
        <item x="151"/>
        <item x="156"/>
        <item x="157"/>
        <item x="158"/>
        <item x="88"/>
        <item x="159"/>
        <item x="164"/>
        <item x="179"/>
        <item x="55"/>
        <item x="169"/>
        <item x="101"/>
        <item x="90"/>
        <item x="177"/>
        <item x="178"/>
        <item x="92"/>
        <item x="184"/>
        <item x="180"/>
        <item x="49"/>
        <item x="181"/>
        <item x="60"/>
        <item x="182"/>
        <item x="89"/>
        <item x="35"/>
        <item x="56"/>
        <item x="206"/>
        <item x="54"/>
        <item x="221"/>
        <item x="99"/>
        <item x="94"/>
        <item x="187"/>
        <item x="189"/>
        <item x="191"/>
        <item x="161"/>
        <item x="170"/>
        <item x="225"/>
        <item x="23"/>
        <item x="52"/>
        <item x="100"/>
        <item x="208"/>
        <item x="222"/>
        <item x="77"/>
        <item x="214"/>
        <item x="32"/>
        <item x="133"/>
        <item x="223"/>
        <item x="227"/>
        <item x="123"/>
        <item x="228"/>
        <item x="1"/>
        <item x="71"/>
        <item x="135"/>
        <item x="120"/>
        <item x="175"/>
        <item x="229"/>
        <item x="162"/>
        <item x="64"/>
        <item x="134"/>
        <item x="31"/>
        <item x="24"/>
        <item x="29"/>
        <item x="25"/>
        <item x="152"/>
        <item x="46"/>
        <item x="231"/>
        <item x="153"/>
        <item x="235"/>
        <item x="72"/>
        <item x="5"/>
        <item x="6"/>
        <item x="40"/>
        <item x="66"/>
        <item x="67"/>
        <item x="8"/>
        <item x="243"/>
        <item x="79"/>
        <item x="244"/>
        <item x="172"/>
        <item x="53"/>
        <item x="260"/>
        <item x="59"/>
        <item x="0"/>
        <item x="3"/>
        <item x="2"/>
        <item x="4"/>
        <item x="36"/>
        <item x="267"/>
        <item x="268"/>
        <item x="74"/>
        <item x="37"/>
        <item x="269"/>
        <item x="270"/>
        <item x="154"/>
        <item x="112"/>
        <item x="272"/>
        <item x="273"/>
        <item x="19"/>
        <item x="51"/>
        <item x="102"/>
        <item x="275"/>
        <item x="185"/>
        <item x="188"/>
        <item x="190"/>
        <item x="266"/>
        <item x="83"/>
        <item x="192"/>
        <item x="232"/>
        <item x="233"/>
        <item x="193"/>
        <item x="236"/>
        <item x="194"/>
        <item x="234"/>
        <item x="195"/>
        <item x="237"/>
        <item x="196"/>
        <item x="197"/>
        <item x="198"/>
        <item x="168"/>
        <item x="220"/>
        <item x="105"/>
        <item x="116"/>
        <item x="21"/>
        <item x="274"/>
        <item x="199"/>
        <item x="238"/>
        <item x="200"/>
        <item x="201"/>
        <item x="202"/>
        <item x="203"/>
        <item x="204"/>
        <item x="205"/>
        <item x="239"/>
        <item x="207"/>
        <item x="240"/>
        <item x="245"/>
        <item x="246"/>
        <item x="247"/>
        <item x="241"/>
        <item x="242"/>
        <item x="248"/>
        <item x="249"/>
        <item x="33"/>
        <item x="213"/>
        <item x="265"/>
        <item x="215"/>
        <item x="216"/>
        <item x="250"/>
        <item x="251"/>
        <item x="252"/>
        <item x="253"/>
        <item x="254"/>
        <item x="255"/>
        <item x="256"/>
        <item x="257"/>
        <item x="258"/>
        <item x="259"/>
        <item x="261"/>
        <item x="262"/>
        <item x="263"/>
        <item x="264"/>
        <item x="271"/>
        <item x="276"/>
        <item x="277"/>
        <item x="278"/>
        <item x="279"/>
        <item x="280"/>
        <item x="217"/>
        <item x="218"/>
        <item x="219"/>
        <item x="282"/>
        <item x="210"/>
        <item x="211"/>
        <item x="212"/>
        <item x="209"/>
        <item x="9"/>
        <item x="20"/>
        <item x="75"/>
        <item x="78"/>
        <item x="22"/>
        <item x="281"/>
      </items>
    </pivotField>
    <pivotField axis="axisRow" compact="0" outline="0" showAll="0" defaultSubtotal="0">
      <items count="284">
        <item x="0"/>
        <item x="1"/>
        <item x="2"/>
        <item x="3"/>
        <item x="4"/>
        <item x="5"/>
        <item x="6"/>
        <item x="7"/>
        <item x="8"/>
        <item x="9"/>
        <item x="10"/>
        <item x="11"/>
        <item x="12"/>
        <item x="13"/>
        <item x="183"/>
        <item x="15"/>
        <item x="16"/>
        <item x="17"/>
        <item x="18"/>
        <item x="19"/>
        <item x="21"/>
        <item x="22"/>
        <item x="23"/>
        <item x="24"/>
        <item x="25"/>
        <item x="26"/>
        <item x="27"/>
        <item x="28"/>
        <item x="29"/>
        <item x="30"/>
        <item x="31"/>
        <item x="222"/>
        <item x="170"/>
        <item x="271"/>
        <item x="35"/>
        <item x="36"/>
        <item x="37"/>
        <item x="38"/>
        <item x="39"/>
        <item x="40"/>
        <item x="41"/>
        <item x="274"/>
        <item x="43"/>
        <item x="90"/>
        <item x="45"/>
        <item x="97"/>
        <item x="46"/>
        <item x="47"/>
        <item x="48"/>
        <item x="49"/>
        <item x="50"/>
        <item x="51"/>
        <item x="52"/>
        <item x="54"/>
        <item x="171"/>
        <item x="128"/>
        <item x="230"/>
        <item x="58"/>
        <item x="59"/>
        <item x="60"/>
        <item x="61"/>
        <item x="62"/>
        <item x="63"/>
        <item x="64"/>
        <item x="65"/>
        <item x="66"/>
        <item x="67"/>
        <item x="68"/>
        <item x="69"/>
        <item x="70"/>
        <item x="71"/>
        <item x="102"/>
        <item x="73"/>
        <item x="74"/>
        <item x="75"/>
        <item x="76"/>
        <item x="78"/>
        <item x="210"/>
        <item x="225"/>
        <item x="229"/>
        <item x="157"/>
        <item x="156"/>
        <item x="83"/>
        <item x="158"/>
        <item x="155"/>
        <item x="87"/>
        <item x="44"/>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2"/>
        <item x="14"/>
        <item x="80"/>
        <item x="33"/>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2"/>
        <item x="56"/>
        <item x="57"/>
        <item x="94"/>
        <item x="185"/>
        <item x="245"/>
        <item x="216"/>
        <item x="112"/>
        <item x="246"/>
        <item x="34"/>
        <item x="53"/>
        <item x="55"/>
        <item x="88"/>
        <item x="89"/>
        <item x="91"/>
        <item x="93"/>
        <item x="95"/>
        <item x="96"/>
        <item x="98"/>
        <item x="100"/>
        <item x="172"/>
        <item x="173"/>
        <item x="176"/>
        <item x="178"/>
        <item x="181"/>
        <item x="186"/>
        <item x="187"/>
        <item x="188"/>
        <item x="208"/>
        <item x="223"/>
        <item x="224"/>
        <item x="226"/>
        <item x="227"/>
        <item x="228"/>
        <item x="232"/>
        <item x="190"/>
        <item x="268"/>
        <item x="192"/>
        <item x="82"/>
        <item x="194"/>
        <item x="234"/>
        <item x="235"/>
        <item x="236"/>
        <item x="195"/>
        <item x="238"/>
        <item x="196"/>
        <item x="197"/>
        <item x="239"/>
        <item x="198"/>
        <item x="199"/>
        <item x="200"/>
        <item x="240"/>
        <item x="201"/>
        <item x="202"/>
        <item x="203"/>
        <item x="204"/>
        <item x="205"/>
        <item x="206"/>
        <item x="207"/>
        <item x="241"/>
        <item x="209"/>
        <item x="179"/>
        <item x="242"/>
        <item x="243"/>
        <item x="244"/>
        <item x="247"/>
        <item x="248"/>
        <item x="249"/>
        <item x="250"/>
        <item x="251"/>
        <item x="32"/>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 x="20"/>
        <item x="77"/>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compact="0" outline="0" showAll="0" defaultSubtotal="0"/>
    <pivotField compact="0" outline="0" showAll="0" defaultSubtotal="0">
      <items count="4">
        <item x="3"/>
        <item x="2"/>
        <item x="0"/>
        <item x="1"/>
      </items>
    </pivotField>
    <pivotField compact="0" outline="0" showAll="0" defaultSubtotal="0"/>
    <pivotField axis="axisRow" compact="0" outline="0" showAll="0" defaultSubtotal="0">
      <items count="7">
        <item x="0"/>
        <item x="5"/>
        <item x="3"/>
        <item x="1"/>
        <item n=" " x="2"/>
        <item x="6"/>
        <item x="4"/>
      </items>
    </pivotField>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88">
    <i>
      <x/>
      <x/>
      <x v="3"/>
      <x v="47"/>
      <x v="1"/>
      <x/>
    </i>
    <i r="2">
      <x v="7"/>
      <x v="161"/>
      <x/>
      <x/>
    </i>
    <i r="2">
      <x v="35"/>
      <x v="134"/>
      <x v="4"/>
      <x/>
    </i>
    <i r="2">
      <x v="40"/>
      <x v="49"/>
      <x/>
      <x/>
    </i>
    <i r="2">
      <x v="64"/>
      <x v="46"/>
      <x v="3"/>
      <x/>
    </i>
    <i r="2">
      <x v="121"/>
      <x v="48"/>
      <x v="3"/>
      <x/>
    </i>
    <i r="2">
      <x v="140"/>
      <x v="51"/>
      <x v="1"/>
      <x/>
    </i>
    <i r="2">
      <x v="158"/>
      <x v="160"/>
      <x/>
      <x/>
    </i>
    <i r="2">
      <x v="166"/>
      <x v="44"/>
      <x/>
      <x/>
    </i>
    <i r="2">
      <x v="181"/>
      <x v="52"/>
      <x v="3"/>
      <x/>
    </i>
    <i r="2">
      <x v="200"/>
      <x v="50"/>
      <x v="3"/>
      <x/>
    </i>
    <i t="default" r="1">
      <x/>
    </i>
    <i r="1">
      <x v="1"/>
      <x v="21"/>
      <x v="39"/>
      <x v="3"/>
      <x/>
    </i>
    <i r="2">
      <x v="38"/>
      <x v="40"/>
      <x/>
      <x v="1"/>
    </i>
    <i r="2">
      <x v="61"/>
      <x v="162"/>
      <x v="3"/>
      <x/>
    </i>
    <i r="2">
      <x v="156"/>
      <x v="175"/>
      <x v="2"/>
      <x/>
    </i>
    <i r="2">
      <x v="205"/>
      <x v="216"/>
      <x v="2"/>
      <x/>
    </i>
    <i t="default" r="1">
      <x v="1"/>
    </i>
    <i r="1">
      <x v="2"/>
      <x v="2"/>
      <x v="136"/>
      <x v="2"/>
      <x/>
    </i>
    <i r="2">
      <x v="4"/>
      <x v="144"/>
      <x v="3"/>
      <x/>
    </i>
    <i r="2">
      <x v="5"/>
      <x v="157"/>
      <x v="3"/>
      <x/>
    </i>
    <i r="2">
      <x v="13"/>
      <x v="137"/>
      <x/>
      <x/>
    </i>
    <i r="2">
      <x v="19"/>
      <x v="103"/>
      <x v="3"/>
      <x/>
    </i>
    <i r="2">
      <x v="23"/>
      <x v="142"/>
      <x v="3"/>
      <x/>
    </i>
    <i r="2">
      <x v="32"/>
      <x v="129"/>
      <x/>
      <x/>
    </i>
    <i r="2">
      <x v="33"/>
      <x v="158"/>
      <x v="3"/>
      <x/>
    </i>
    <i r="2">
      <x v="62"/>
      <x v="149"/>
      <x v="3"/>
      <x/>
    </i>
    <i r="2">
      <x v="63"/>
      <x v="135"/>
      <x v="3"/>
      <x/>
    </i>
    <i r="2">
      <x v="108"/>
      <x v="85"/>
      <x v="3"/>
      <x/>
    </i>
    <i r="2">
      <x v="136"/>
      <x v="159"/>
      <x v="3"/>
      <x/>
    </i>
    <i r="2">
      <x v="141"/>
      <x v="97"/>
      <x v="2"/>
      <x/>
    </i>
    <i r="2">
      <x v="165"/>
      <x v="150"/>
      <x v="3"/>
      <x/>
    </i>
    <i r="2">
      <x v="168"/>
      <x v="151"/>
      <x/>
      <x/>
    </i>
    <i r="2">
      <x v="195"/>
      <x v="152"/>
      <x/>
      <x/>
    </i>
    <i r="2">
      <x v="201"/>
      <x v="99"/>
      <x/>
      <x/>
    </i>
    <i r="2">
      <x v="213"/>
      <x v="224"/>
      <x/>
      <x/>
    </i>
    <i r="2">
      <x v="245"/>
      <x v="250"/>
      <x/>
      <x/>
    </i>
    <i r="2">
      <x v="247"/>
      <x v="252"/>
      <x v="2"/>
      <x/>
    </i>
    <i r="2">
      <x v="248"/>
      <x v="253"/>
      <x v="2"/>
      <x/>
    </i>
    <i r="2">
      <x v="271"/>
      <x v="276"/>
      <x/>
      <x/>
    </i>
    <i t="default" r="1">
      <x v="2"/>
    </i>
    <i r="1">
      <x v="8"/>
      <x v="18"/>
      <x v="119"/>
      <x v="1"/>
      <x v="1"/>
    </i>
    <i r="2">
      <x v="35"/>
      <x v="163"/>
      <x v="4"/>
      <x/>
    </i>
    <i r="2">
      <x v="56"/>
      <x v="118"/>
      <x v="1"/>
      <x v="1"/>
    </i>
    <i r="2">
      <x v="78"/>
      <x v="183"/>
      <x/>
      <x/>
    </i>
    <i r="2">
      <x v="86"/>
      <x v="122"/>
      <x/>
      <x/>
    </i>
    <i r="2">
      <x v="87"/>
      <x v="121"/>
      <x v="1"/>
      <x/>
    </i>
    <i r="2">
      <x v="88"/>
      <x v="123"/>
      <x v="4"/>
      <x/>
    </i>
    <i r="2">
      <x v="93"/>
      <x v="63"/>
      <x/>
      <x/>
    </i>
    <i r="2">
      <x v="204"/>
      <x v="214"/>
      <x v="1"/>
      <x/>
    </i>
    <i r="2">
      <x v="211"/>
      <x v="222"/>
      <x v="1"/>
      <x/>
    </i>
    <i r="2">
      <x v="215"/>
      <x v="225"/>
      <x/>
      <x/>
    </i>
    <i t="default" r="1">
      <x v="8"/>
    </i>
    <i r="1">
      <x v="10"/>
      <x v="52"/>
      <x v="74"/>
      <x/>
      <x/>
    </i>
    <i r="2">
      <x v="144"/>
      <x v="75"/>
      <x/>
      <x/>
    </i>
    <i r="2">
      <x v="229"/>
      <x v="233"/>
      <x/>
      <x/>
    </i>
    <i r="2">
      <x v="230"/>
      <x v="234"/>
      <x v="4"/>
      <x/>
    </i>
    <i r="2">
      <x v="279"/>
      <x v="73"/>
      <x/>
      <x/>
    </i>
    <i t="default" r="1">
      <x v="10"/>
    </i>
    <i r="1">
      <x v="11"/>
      <x v="147"/>
      <x v="130"/>
      <x/>
      <x/>
    </i>
    <i r="2">
      <x v="178"/>
      <x v="76"/>
      <x v="2"/>
      <x/>
    </i>
    <i r="2">
      <x v="218"/>
      <x v="228"/>
      <x v="4"/>
      <x/>
    </i>
    <i r="2">
      <x v="219"/>
      <x v="229"/>
      <x v="4"/>
      <x/>
    </i>
    <i t="default" r="1">
      <x v="11"/>
    </i>
    <i r="1">
      <x v="12"/>
      <x v="24"/>
      <x v="116"/>
      <x v="2"/>
      <x v="1"/>
    </i>
    <i r="2">
      <x v="35"/>
      <x v="164"/>
      <x v="4"/>
      <x/>
    </i>
    <i r="2">
      <x v="39"/>
      <x v="115"/>
      <x v="2"/>
      <x v="1"/>
    </i>
    <i r="2">
      <x v="45"/>
      <x v="114"/>
      <x v="2"/>
      <x v="1"/>
    </i>
    <i r="2">
      <x v="47"/>
      <x v="167"/>
      <x v="4"/>
      <x/>
    </i>
    <i r="2">
      <x v="65"/>
      <x v="68"/>
      <x/>
      <x/>
    </i>
    <i r="2">
      <x v="66"/>
      <x v="66"/>
      <x v="1"/>
      <x/>
    </i>
    <i r="2">
      <x v="67"/>
      <x v="67"/>
      <x/>
      <x/>
    </i>
    <i r="2">
      <x v="80"/>
      <x v="59"/>
      <x v="1"/>
      <x/>
    </i>
    <i r="2">
      <x v="112"/>
      <x v="53"/>
      <x/>
      <x/>
    </i>
    <i r="2">
      <x v="123"/>
      <x v="58"/>
      <x v="4"/>
      <x/>
    </i>
    <i r="2">
      <x v="150"/>
      <x v="120"/>
      <x v="1"/>
      <x v="1"/>
    </i>
    <i r="2">
      <x v="153"/>
      <x v="69"/>
      <x/>
      <x/>
    </i>
    <i r="2">
      <x v="155"/>
      <x v="117"/>
      <x v="1"/>
      <x v="1"/>
    </i>
    <i r="2">
      <x v="170"/>
      <x v="70"/>
      <x/>
      <x/>
    </i>
    <i t="default" r="1">
      <x v="12"/>
    </i>
    <i r="1">
      <x v="14"/>
      <x v="43"/>
      <x v="15"/>
      <x/>
      <x/>
    </i>
    <i r="2">
      <x v="44"/>
      <x v="16"/>
      <x v="2"/>
      <x/>
    </i>
    <i r="2">
      <x v="51"/>
      <x v="10"/>
      <x/>
      <x/>
    </i>
    <i r="2">
      <x v="59"/>
      <x v="12"/>
      <x/>
      <x/>
    </i>
    <i r="2">
      <x v="60"/>
      <x v="11"/>
      <x/>
      <x/>
    </i>
    <i r="2">
      <x v="79"/>
      <x v="13"/>
      <x/>
      <x/>
    </i>
    <i r="2">
      <x v="81"/>
      <x v="7"/>
      <x/>
      <x/>
    </i>
    <i r="2">
      <x v="102"/>
      <x v="17"/>
      <x v="3"/>
      <x/>
    </i>
    <i r="2">
      <x v="103"/>
      <x v="18"/>
      <x v="3"/>
      <x/>
    </i>
    <i r="2">
      <x v="139"/>
      <x v="21"/>
      <x v="2"/>
      <x/>
    </i>
    <i r="2">
      <x v="152"/>
      <x v="1"/>
      <x/>
      <x/>
    </i>
    <i r="2">
      <x v="154"/>
      <x v="133"/>
      <x v="2"/>
      <x/>
    </i>
    <i r="2">
      <x v="171"/>
      <x v="5"/>
      <x/>
      <x/>
    </i>
    <i r="2">
      <x v="172"/>
      <x v="6"/>
      <x v="3"/>
      <x/>
    </i>
    <i r="2">
      <x v="176"/>
      <x v="8"/>
      <x/>
      <x/>
    </i>
    <i r="2">
      <x v="184"/>
      <x/>
      <x/>
      <x/>
    </i>
    <i r="2">
      <x v="185"/>
      <x v="3"/>
      <x v="3"/>
      <x/>
    </i>
    <i r="2">
      <x v="186"/>
      <x v="2"/>
      <x/>
      <x/>
    </i>
    <i r="2">
      <x v="187"/>
      <x v="4"/>
      <x/>
      <x/>
    </i>
    <i r="2">
      <x v="224"/>
      <x v="20"/>
      <x v="3"/>
      <x/>
    </i>
    <i r="2">
      <x v="277"/>
      <x v="9"/>
      <x/>
      <x/>
    </i>
    <i r="2">
      <x v="278"/>
      <x v="282"/>
      <x v="6"/>
      <x/>
    </i>
    <i t="default" r="1">
      <x v="14"/>
    </i>
    <i r="1">
      <x v="17"/>
      <x v="191"/>
      <x v="72"/>
      <x v="4"/>
      <x/>
    </i>
    <i r="2">
      <x v="208"/>
      <x v="218"/>
      <x v="4"/>
      <x/>
    </i>
    <i r="2">
      <x v="226"/>
      <x v="231"/>
      <x/>
      <x/>
    </i>
    <i t="default" r="1">
      <x v="17"/>
    </i>
    <i r="1">
      <x v="18"/>
      <x v="57"/>
      <x v="128"/>
      <x v="4"/>
      <x/>
    </i>
    <i r="2">
      <x v="174"/>
      <x v="64"/>
      <x/>
      <x/>
    </i>
    <i r="2">
      <x v="175"/>
      <x v="65"/>
      <x v="1"/>
      <x/>
    </i>
    <i t="default" r="1">
      <x v="18"/>
    </i>
    <i r="1">
      <x v="19"/>
      <x v="180"/>
      <x v="172"/>
      <x v="4"/>
      <x/>
    </i>
    <i r="2">
      <x v="231"/>
      <x v="235"/>
      <x/>
      <x v="1"/>
    </i>
    <i r="2">
      <x v="232"/>
      <x v="236"/>
      <x/>
      <x v="1"/>
    </i>
    <i t="default" r="1">
      <x v="19"/>
    </i>
    <i r="1">
      <x v="20"/>
      <x v="17"/>
      <x v="106"/>
      <x v="2"/>
      <x v="1"/>
    </i>
    <i r="2">
      <x v="30"/>
      <x v="25"/>
      <x v="3"/>
      <x/>
    </i>
    <i r="2">
      <x v="31"/>
      <x v="108"/>
      <x/>
      <x v="1"/>
    </i>
    <i r="2">
      <x v="41"/>
      <x v="173"/>
      <x v="4"/>
      <x v="1"/>
    </i>
    <i r="2">
      <x v="71"/>
      <x v="24"/>
      <x/>
      <x/>
    </i>
    <i r="2">
      <x v="72"/>
      <x v="112"/>
      <x v="2"/>
      <x v="1"/>
    </i>
    <i r="2">
      <x v="74"/>
      <x v="28"/>
      <x v="3"/>
      <x/>
    </i>
    <i r="2">
      <x v="75"/>
      <x v="26"/>
      <x v="2"/>
      <x/>
    </i>
    <i r="2">
      <x v="76"/>
      <x v="37"/>
      <x/>
      <x/>
    </i>
    <i r="2">
      <x v="77"/>
      <x v="36"/>
      <x/>
      <x/>
    </i>
    <i r="2">
      <x v="146"/>
      <x v="30"/>
      <x v="3"/>
      <x/>
    </i>
    <i r="2">
      <x v="160"/>
      <x v="132"/>
      <x v="2"/>
      <x v="1"/>
    </i>
    <i r="2">
      <x v="161"/>
      <x v="29"/>
      <x v="3"/>
      <x/>
    </i>
    <i r="2">
      <x v="162"/>
      <x v="22"/>
      <x/>
      <x/>
    </i>
    <i r="2">
      <x v="163"/>
      <x v="27"/>
      <x v="3"/>
      <x/>
    </i>
    <i r="2">
      <x v="164"/>
      <x v="23"/>
      <x v="3"/>
      <x/>
    </i>
    <i r="2">
      <x v="173"/>
      <x v="38"/>
      <x/>
      <x/>
    </i>
    <i r="2">
      <x v="188"/>
      <x v="34"/>
      <x v="3"/>
      <x/>
    </i>
    <i r="2">
      <x v="192"/>
      <x v="35"/>
      <x v="3"/>
      <x/>
    </i>
    <i r="2">
      <x v="196"/>
      <x v="109"/>
      <x v="2"/>
      <x v="1"/>
    </i>
    <i r="2">
      <x v="223"/>
      <x v="113"/>
      <x/>
      <x v="1"/>
    </i>
    <i r="2">
      <x v="269"/>
      <x v="274"/>
      <x v="4"/>
      <x/>
    </i>
    <i r="2">
      <x v="270"/>
      <x v="275"/>
      <x/>
      <x v="1"/>
    </i>
    <i t="default" r="1">
      <x v="20"/>
    </i>
    <i r="1">
      <x v="22"/>
      <x v="273"/>
      <x v="279"/>
      <x v="4"/>
      <x/>
    </i>
    <i r="2">
      <x v="274"/>
      <x v="280"/>
      <x v="4"/>
      <x/>
    </i>
    <i r="2">
      <x v="275"/>
      <x v="281"/>
      <x v="4"/>
      <x/>
    </i>
    <i r="2">
      <x v="276"/>
      <x v="278"/>
      <x v="4"/>
      <x/>
    </i>
    <i t="default" r="1">
      <x v="22"/>
    </i>
    <i t="default">
      <x/>
    </i>
    <i>
      <x v="1"/>
      <x v="3"/>
      <x v="143"/>
      <x v="209"/>
      <x v="4"/>
      <x v="1"/>
    </i>
    <i r="2">
      <x v="227"/>
      <x v="230"/>
      <x/>
      <x/>
    </i>
    <i t="default" r="1">
      <x v="3"/>
    </i>
    <i r="1">
      <x v="6"/>
      <x v="49"/>
      <x v="201"/>
      <x/>
      <x/>
    </i>
    <i r="2">
      <x v="50"/>
      <x v="202"/>
      <x v="5"/>
      <x/>
    </i>
    <i r="2">
      <x v="111"/>
      <x v="203"/>
      <x/>
      <x/>
    </i>
    <i r="2">
      <x v="118"/>
      <x v="193"/>
      <x/>
      <x/>
    </i>
    <i r="2">
      <x v="132"/>
      <x v="194"/>
      <x/>
      <x/>
    </i>
    <i r="2">
      <x v="203"/>
      <x v="205"/>
      <x/>
      <x/>
    </i>
    <i r="2">
      <x v="216"/>
      <x v="226"/>
      <x v="5"/>
      <x/>
    </i>
    <i r="2">
      <x v="234"/>
      <x v="238"/>
      <x v="4"/>
      <x/>
    </i>
    <i r="2">
      <x v="236"/>
      <x v="241"/>
      <x/>
      <x/>
    </i>
    <i r="2">
      <x v="239"/>
      <x v="246"/>
      <x v="4"/>
      <x/>
    </i>
    <i r="2">
      <x v="243"/>
      <x v="248"/>
      <x v="4"/>
      <x/>
    </i>
    <i r="2">
      <x v="266"/>
      <x v="271"/>
      <x/>
      <x/>
    </i>
    <i r="2">
      <x v="267"/>
      <x v="272"/>
      <x v="4"/>
      <x/>
    </i>
    <i r="2">
      <x v="282"/>
      <x v="282"/>
      <x v="4"/>
      <x/>
    </i>
    <i t="default" r="1">
      <x v="6"/>
    </i>
    <i r="1">
      <x v="9"/>
      <x v="91"/>
      <x v="195"/>
      <x/>
      <x/>
    </i>
    <i r="2">
      <x v="92"/>
      <x v="210"/>
      <x v="5"/>
      <x/>
    </i>
    <i r="2">
      <x v="241"/>
      <x v="243"/>
      <x v="4"/>
      <x/>
    </i>
    <i t="default" r="1">
      <x v="9"/>
    </i>
    <i r="1">
      <x v="13"/>
      <x v="37"/>
      <x v="206"/>
      <x v="4"/>
      <x/>
    </i>
    <i r="2">
      <x v="209"/>
      <x v="219"/>
      <x/>
      <x/>
    </i>
    <i r="2">
      <x v="212"/>
      <x v="223"/>
      <x v="5"/>
      <x/>
    </i>
    <i r="2">
      <x v="268"/>
      <x v="273"/>
      <x/>
      <x/>
    </i>
    <i t="default" r="1">
      <x v="13"/>
    </i>
    <i r="1">
      <x v="15"/>
      <x v="125"/>
      <x v="191"/>
      <x/>
      <x/>
    </i>
    <i r="2">
      <x v="126"/>
      <x v="188"/>
      <x/>
      <x/>
    </i>
    <i r="2">
      <x v="127"/>
      <x v="190"/>
      <x v="5"/>
      <x/>
    </i>
    <i r="2">
      <x v="210"/>
      <x v="220"/>
      <x/>
      <x/>
    </i>
    <i r="2">
      <x v="214"/>
      <x v="221"/>
      <x/>
      <x/>
    </i>
    <i r="2">
      <x v="238"/>
      <x v="245"/>
      <x v="4"/>
      <x/>
    </i>
    <i t="default" r="1">
      <x v="15"/>
    </i>
    <i r="1">
      <x v="16"/>
      <x v="137"/>
      <x v="199"/>
      <x/>
      <x/>
    </i>
    <i r="2">
      <x v="240"/>
      <x v="242"/>
      <x v="4"/>
      <x/>
    </i>
    <i r="2">
      <x v="253"/>
      <x v="258"/>
      <x v="5"/>
      <x/>
    </i>
    <i r="2">
      <x v="272"/>
      <x v="277"/>
      <x v="5"/>
      <x/>
    </i>
    <i t="default" r="1">
      <x v="16"/>
    </i>
    <i r="1">
      <x v="21"/>
      <x v="265"/>
      <x v="270"/>
      <x v="4"/>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7">
    <format dxfId="1114">
      <pivotArea outline="0" collapsedLevelsAreSubtotals="1" fieldPosition="0"/>
    </format>
    <format dxfId="1113">
      <pivotArea dataOnly="0" labelOnly="1" outline="0" fieldPosition="0">
        <references count="1">
          <reference field="4294967294" count="2">
            <x v="0"/>
            <x v="1"/>
          </reference>
        </references>
      </pivotArea>
    </format>
    <format dxfId="1112">
      <pivotArea grandRow="1" outline="0" collapsedLevelsAreSubtotals="1" fieldPosition="0"/>
    </format>
    <format dxfId="1111">
      <pivotArea dataOnly="0" labelOnly="1" grandRow="1" outline="0" fieldPosition="0"/>
    </format>
    <format dxfId="1110">
      <pivotArea grandRow="1" outline="0" collapsedLevelsAreSubtotals="1" fieldPosition="0"/>
    </format>
    <format dxfId="1109">
      <pivotArea dataOnly="0" labelOnly="1" grandRow="1" outline="0" fieldPosition="0"/>
    </format>
    <format dxfId="1108">
      <pivotArea field="24" type="button" dataOnly="0" labelOnly="1" outline="0" axis="axisRow" fieldPosition="5"/>
    </format>
    <format dxfId="1107">
      <pivotArea field="24" type="button" dataOnly="0" labelOnly="1" outline="0" axis="axisRow" fieldPosition="5"/>
    </format>
    <format dxfId="1106">
      <pivotArea field="1" type="button" dataOnly="0" labelOnly="1" outline="0" axis="axisRow" fieldPosition="0"/>
    </format>
    <format dxfId="1105">
      <pivotArea field="5" type="button" dataOnly="0" labelOnly="1" outline="0" axis="axisRow" fieldPosition="1"/>
    </format>
    <format dxfId="1104">
      <pivotArea field="11" type="button" dataOnly="0" labelOnly="1" outline="0" axis="axisRow" fieldPosition="2"/>
    </format>
    <format dxfId="1103">
      <pivotArea field="12" type="button" dataOnly="0" labelOnly="1" outline="0" axis="axisRow" fieldPosition="3"/>
    </format>
    <format dxfId="1102">
      <pivotArea field="22" type="button" dataOnly="0" labelOnly="1" outline="0"/>
    </format>
    <format dxfId="1101">
      <pivotArea dataOnly="0" labelOnly="1" outline="0" fieldPosition="0">
        <references count="1">
          <reference field="4294967294" count="2">
            <x v="0"/>
            <x v="1"/>
          </reference>
        </references>
      </pivotArea>
    </format>
    <format dxfId="1100">
      <pivotArea field="1" type="button" dataOnly="0" labelOnly="1" outline="0" axis="axisRow" fieldPosition="0"/>
    </format>
    <format dxfId="1099">
      <pivotArea field="5" type="button" dataOnly="0" labelOnly="1" outline="0" axis="axisRow" fieldPosition="1"/>
    </format>
    <format dxfId="1098">
      <pivotArea field="11" type="button" dataOnly="0" labelOnly="1" outline="0" axis="axisRow" fieldPosition="2"/>
    </format>
    <format dxfId="1097">
      <pivotArea field="12" type="button" dataOnly="0" labelOnly="1" outline="0" axis="axisRow" fieldPosition="3"/>
    </format>
    <format dxfId="1096">
      <pivotArea field="22" type="button" dataOnly="0" labelOnly="1" outline="0"/>
    </format>
    <format dxfId="1095">
      <pivotArea dataOnly="0" labelOnly="1" outline="0" fieldPosition="0">
        <references count="1">
          <reference field="4294967294" count="2">
            <x v="0"/>
            <x v="1"/>
          </reference>
        </references>
      </pivotArea>
    </format>
    <format dxfId="1094">
      <pivotArea dataOnly="0" labelOnly="1" outline="0" fieldPosition="0">
        <references count="3">
          <reference field="1" count="1" selected="0">
            <x v="0"/>
          </reference>
          <reference field="5" count="1" selected="0">
            <x v="0"/>
          </reference>
          <reference field="11" count="6">
            <x v="64"/>
            <x v="121"/>
            <x v="140"/>
            <x v="158"/>
            <x v="166"/>
            <x v="181"/>
          </reference>
        </references>
      </pivotArea>
    </format>
    <format dxfId="1093">
      <pivotArea dataOnly="0" labelOnly="1" outline="0" fieldPosition="0">
        <references count="3">
          <reference field="1" count="1" selected="0">
            <x v="0"/>
          </reference>
          <reference field="5" count="1" selected="0">
            <x v="14"/>
          </reference>
          <reference field="11" count="5">
            <x v="43"/>
            <x v="44"/>
            <x v="51"/>
            <x v="59"/>
            <x v="60"/>
          </reference>
        </references>
      </pivotArea>
    </format>
    <format dxfId="1092">
      <pivotArea dataOnly="0" labelOnly="1" outline="0" fieldPosition="0">
        <references count="3">
          <reference field="1" count="1" selected="0">
            <x v="0"/>
          </reference>
          <reference field="5" count="1" selected="0">
            <x v="20"/>
          </reference>
          <reference field="11" count="15">
            <x v="71"/>
            <x v="72"/>
            <x v="74"/>
            <x v="75"/>
            <x v="76"/>
            <x v="77"/>
            <x v="146"/>
            <x v="160"/>
            <x v="161"/>
            <x v="162"/>
            <x v="163"/>
            <x v="164"/>
            <x v="173"/>
            <x v="188"/>
            <x v="192"/>
          </reference>
        </references>
      </pivotArea>
    </format>
    <format dxfId="1091">
      <pivotArea field="1" type="button" dataOnly="0" labelOnly="1" outline="0" axis="axisRow" fieldPosition="0"/>
    </format>
    <format dxfId="1090">
      <pivotArea field="5" type="button" dataOnly="0" labelOnly="1" outline="0" axis="axisRow" fieldPosition="1"/>
    </format>
    <format dxfId="1089">
      <pivotArea field="11" type="button" dataOnly="0" labelOnly="1" outline="0" axis="axisRow" fieldPosition="2"/>
    </format>
    <format dxfId="1088">
      <pivotArea field="12" type="button" dataOnly="0" labelOnly="1" outline="0" axis="axisRow" fieldPosition="3"/>
    </format>
    <format dxfId="1087">
      <pivotArea field="19" type="button" dataOnly="0" labelOnly="1" outline="0" axis="axisRow" fieldPosition="6"/>
    </format>
    <format dxfId="1086">
      <pivotArea type="all" dataOnly="0" outline="0" fieldPosition="0"/>
    </format>
    <format dxfId="1085">
      <pivotArea type="all" dataOnly="0" outline="0" fieldPosition="0"/>
    </format>
    <format dxfId="1084">
      <pivotArea outline="0" collapsedLevelsAreSubtotals="1" fieldPosition="0"/>
    </format>
    <format dxfId="1083">
      <pivotArea dataOnly="0" labelOnly="1" outline="0" fieldPosition="0">
        <references count="1">
          <reference field="1" count="0"/>
        </references>
      </pivotArea>
    </format>
    <format dxfId="1082">
      <pivotArea dataOnly="0" labelOnly="1" outline="0" fieldPosition="0">
        <references count="1">
          <reference field="1" count="0" defaultSubtotal="1"/>
        </references>
      </pivotArea>
    </format>
    <format dxfId="1081">
      <pivotArea dataOnly="0" labelOnly="1" grandRow="1" outline="0" fieldPosition="0"/>
    </format>
    <format dxfId="1080">
      <pivotArea dataOnly="0" labelOnly="1" outline="0" fieldPosition="0">
        <references count="2">
          <reference field="1" count="1" selected="0">
            <x v="0"/>
          </reference>
          <reference field="5" count="13">
            <x v="0"/>
            <x v="1"/>
            <x v="2"/>
            <x v="5"/>
            <x v="8"/>
            <x v="10"/>
            <x v="11"/>
            <x v="12"/>
            <x v="14"/>
            <x v="17"/>
            <x v="18"/>
            <x v="19"/>
            <x v="20"/>
          </reference>
        </references>
      </pivotArea>
    </format>
    <format dxfId="107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078">
      <pivotArea dataOnly="0" labelOnly="1" outline="0" fieldPosition="0">
        <references count="2">
          <reference field="1" count="1" selected="0">
            <x v="1"/>
          </reference>
          <reference field="5" count="6">
            <x v="3"/>
            <x v="6"/>
            <x v="9"/>
            <x v="13"/>
            <x v="15"/>
            <x v="16"/>
          </reference>
        </references>
      </pivotArea>
    </format>
    <format dxfId="1077">
      <pivotArea dataOnly="0" labelOnly="1" outline="0" fieldPosition="0">
        <references count="2">
          <reference field="1" count="1" selected="0">
            <x v="1"/>
          </reference>
          <reference field="5" count="6" defaultSubtotal="1">
            <x v="3"/>
            <x v="6"/>
            <x v="9"/>
            <x v="13"/>
            <x v="15"/>
            <x v="16"/>
          </reference>
        </references>
      </pivotArea>
    </format>
    <format dxfId="1076">
      <pivotArea dataOnly="0" labelOnly="1" outline="0" fieldPosition="0">
        <references count="3">
          <reference field="1" count="1" selected="0">
            <x v="0"/>
          </reference>
          <reference field="5" count="1" selected="0">
            <x v="0"/>
          </reference>
          <reference field="11" count="11">
            <x v="3"/>
            <x v="7"/>
            <x v="35"/>
            <x v="40"/>
            <x v="64"/>
            <x v="121"/>
            <x v="140"/>
            <x v="158"/>
            <x v="166"/>
            <x v="181"/>
            <x v="200"/>
          </reference>
        </references>
      </pivotArea>
    </format>
    <format dxfId="1075">
      <pivotArea dataOnly="0" labelOnly="1" outline="0" fieldPosition="0">
        <references count="3">
          <reference field="1" count="1" selected="0">
            <x v="0"/>
          </reference>
          <reference field="5" count="1" selected="0">
            <x v="1"/>
          </reference>
          <reference field="11" count="6">
            <x v="21"/>
            <x v="38"/>
            <x v="55"/>
            <x v="61"/>
            <x v="156"/>
            <x v="205"/>
          </reference>
        </references>
      </pivotArea>
    </format>
    <format dxfId="1074">
      <pivotArea dataOnly="0" labelOnly="1" outline="0" fieldPosition="0">
        <references count="3">
          <reference field="1" count="1" selected="0">
            <x v="0"/>
          </reference>
          <reference field="5" count="1" selected="0">
            <x v="2"/>
          </reference>
          <reference field="11" count="26">
            <x v="1"/>
            <x v="2"/>
            <x v="4"/>
            <x v="5"/>
            <x v="13"/>
            <x v="19"/>
            <x v="23"/>
            <x v="32"/>
            <x v="33"/>
            <x v="62"/>
            <x v="63"/>
            <x v="108"/>
            <x v="136"/>
            <x v="141"/>
            <x v="165"/>
            <x v="168"/>
            <x v="195"/>
            <x v="201"/>
            <x v="213"/>
            <x v="217"/>
            <x v="235"/>
            <x v="244"/>
            <x v="245"/>
            <x v="246"/>
            <x v="247"/>
            <x v="248"/>
          </reference>
        </references>
      </pivotArea>
    </format>
    <format dxfId="1073">
      <pivotArea dataOnly="0" labelOnly="1" outline="0" fieldPosition="0">
        <references count="3">
          <reference field="1" count="1" selected="0">
            <x v="0"/>
          </reference>
          <reference field="5" count="1" selected="0">
            <x v="5"/>
          </reference>
          <reference field="11" count="1">
            <x v="53"/>
          </reference>
        </references>
      </pivotArea>
    </format>
    <format dxfId="1072">
      <pivotArea dataOnly="0" labelOnly="1" outline="0" fieldPosition="0">
        <references count="3">
          <reference field="1" count="1" selected="0">
            <x v="0"/>
          </reference>
          <reference field="5" count="1" selected="0">
            <x v="8"/>
          </reference>
          <reference field="11" count="11">
            <x v="18"/>
            <x v="35"/>
            <x v="56"/>
            <x v="78"/>
            <x v="86"/>
            <x v="87"/>
            <x v="88"/>
            <x v="93"/>
            <x v="204"/>
            <x v="211"/>
            <x v="215"/>
          </reference>
        </references>
      </pivotArea>
    </format>
    <format dxfId="1071">
      <pivotArea dataOnly="0" labelOnly="1" outline="0" fieldPosition="0">
        <references count="3">
          <reference field="1" count="1" selected="0">
            <x v="0"/>
          </reference>
          <reference field="5" count="1" selected="0">
            <x v="10"/>
          </reference>
          <reference field="11" count="5">
            <x v="52"/>
            <x v="144"/>
            <x v="228"/>
            <x v="229"/>
            <x v="230"/>
          </reference>
        </references>
      </pivotArea>
    </format>
    <format dxfId="1070">
      <pivotArea dataOnly="0" labelOnly="1" outline="0" fieldPosition="0">
        <references count="3">
          <reference field="1" count="1" selected="0">
            <x v="0"/>
          </reference>
          <reference field="5" count="1" selected="0">
            <x v="11"/>
          </reference>
          <reference field="11" count="4">
            <x v="147"/>
            <x v="178"/>
            <x v="218"/>
            <x v="219"/>
          </reference>
        </references>
      </pivotArea>
    </format>
    <format dxfId="1069">
      <pivotArea dataOnly="0" labelOnly="1" outline="0" fieldPosition="0">
        <references count="3">
          <reference field="1" count="1" selected="0">
            <x v="0"/>
          </reference>
          <reference field="5" count="1" selected="0">
            <x v="12"/>
          </reference>
          <reference field="11" count="20">
            <x v="24"/>
            <x v="35"/>
            <x v="39"/>
            <x v="47"/>
            <x v="65"/>
            <x v="66"/>
            <x v="67"/>
            <x v="73"/>
            <x v="80"/>
            <x v="84"/>
            <x v="85"/>
            <x v="112"/>
            <x v="123"/>
            <x v="150"/>
            <x v="153"/>
            <x v="155"/>
            <x v="159"/>
            <x v="170"/>
            <x v="183"/>
            <x v="233"/>
          </reference>
        </references>
      </pivotArea>
    </format>
    <format dxfId="1068">
      <pivotArea dataOnly="0" labelOnly="1" outline="0" fieldPosition="0">
        <references count="3">
          <reference field="1" count="1" selected="0">
            <x v="0"/>
          </reference>
          <reference field="5" count="1" selected="0">
            <x v="14"/>
          </reference>
          <reference field="11" count="21">
            <x v="43"/>
            <x v="44"/>
            <x v="51"/>
            <x v="59"/>
            <x v="60"/>
            <x v="79"/>
            <x v="81"/>
            <x v="102"/>
            <x v="103"/>
            <x v="139"/>
            <x v="152"/>
            <x v="154"/>
            <x v="171"/>
            <x v="172"/>
            <x v="176"/>
            <x v="184"/>
            <x v="185"/>
            <x v="186"/>
            <x v="187"/>
            <x v="199"/>
            <x v="224"/>
          </reference>
        </references>
      </pivotArea>
    </format>
    <format dxfId="1067">
      <pivotArea dataOnly="0" labelOnly="1" outline="0" fieldPosition="0">
        <references count="3">
          <reference field="1" count="1" selected="0">
            <x v="0"/>
          </reference>
          <reference field="5" count="1" selected="0">
            <x v="17"/>
          </reference>
          <reference field="11" count="3">
            <x v="191"/>
            <x v="208"/>
            <x v="226"/>
          </reference>
        </references>
      </pivotArea>
    </format>
    <format dxfId="1066">
      <pivotArea dataOnly="0" labelOnly="1" outline="0" fieldPosition="0">
        <references count="3">
          <reference field="1" count="1" selected="0">
            <x v="0"/>
          </reference>
          <reference field="5" count="1" selected="0">
            <x v="18"/>
          </reference>
          <reference field="11" count="4">
            <x v="35"/>
            <x v="57"/>
            <x v="174"/>
            <x v="175"/>
          </reference>
        </references>
      </pivotArea>
    </format>
    <format dxfId="1065">
      <pivotArea dataOnly="0" labelOnly="1" outline="0" fieldPosition="0">
        <references count="3">
          <reference field="1" count="1" selected="0">
            <x v="0"/>
          </reference>
          <reference field="5" count="1" selected="0">
            <x v="19"/>
          </reference>
          <reference field="11" count="3">
            <x v="180"/>
            <x v="231"/>
            <x v="232"/>
          </reference>
        </references>
      </pivotArea>
    </format>
    <format dxfId="1064">
      <pivotArea dataOnly="0" labelOnly="1" outline="0" fieldPosition="0">
        <references count="3">
          <reference field="1" count="1" selected="0">
            <x v="0"/>
          </reference>
          <reference field="5" count="1" selected="0">
            <x v="20"/>
          </reference>
          <reference field="11" count="23">
            <x v="17"/>
            <x v="30"/>
            <x v="31"/>
            <x v="41"/>
            <x v="45"/>
            <x v="71"/>
            <x v="72"/>
            <x v="74"/>
            <x v="75"/>
            <x v="76"/>
            <x v="77"/>
            <x v="146"/>
            <x v="160"/>
            <x v="161"/>
            <x v="162"/>
            <x v="163"/>
            <x v="164"/>
            <x v="173"/>
            <x v="188"/>
            <x v="192"/>
            <x v="196"/>
            <x v="223"/>
            <x v="225"/>
          </reference>
        </references>
      </pivotArea>
    </format>
    <format dxfId="1063">
      <pivotArea dataOnly="0" labelOnly="1" outline="0" fieldPosition="0">
        <references count="3">
          <reference field="1" count="1" selected="0">
            <x v="1"/>
          </reference>
          <reference field="5" count="1" selected="0">
            <x v="3"/>
          </reference>
          <reference field="11" count="3">
            <x v="143"/>
            <x v="227"/>
            <x v="242"/>
          </reference>
        </references>
      </pivotArea>
    </format>
    <format dxfId="1062">
      <pivotArea dataOnly="0" labelOnly="1" outline="0" fieldPosition="0">
        <references count="3">
          <reference field="1" count="1" selected="0">
            <x v="1"/>
          </reference>
          <reference field="5" count="1" selected="0">
            <x v="6"/>
          </reference>
          <reference field="11" count="12">
            <x v="48"/>
            <x v="49"/>
            <x v="50"/>
            <x v="111"/>
            <x v="118"/>
            <x v="132"/>
            <x v="203"/>
            <x v="216"/>
            <x v="234"/>
            <x v="236"/>
            <x v="239"/>
            <x v="243"/>
          </reference>
        </references>
      </pivotArea>
    </format>
    <format dxfId="1061">
      <pivotArea dataOnly="0" labelOnly="1" outline="0" fieldPosition="0">
        <references count="3">
          <reference field="1" count="1" selected="0">
            <x v="1"/>
          </reference>
          <reference field="5" count="1" selected="0">
            <x v="9"/>
          </reference>
          <reference field="11" count="3">
            <x v="91"/>
            <x v="92"/>
            <x v="241"/>
          </reference>
        </references>
      </pivotArea>
    </format>
    <format dxfId="1060">
      <pivotArea dataOnly="0" labelOnly="1" outline="0" fieldPosition="0">
        <references count="3">
          <reference field="1" count="1" selected="0">
            <x v="1"/>
          </reference>
          <reference field="5" count="1" selected="0">
            <x v="13"/>
          </reference>
          <reference field="11" count="6">
            <x v="36"/>
            <x v="37"/>
            <x v="115"/>
            <x v="131"/>
            <x v="209"/>
            <x v="212"/>
          </reference>
        </references>
      </pivotArea>
    </format>
    <format dxfId="1059">
      <pivotArea dataOnly="0" labelOnly="1" outline="0" fieldPosition="0">
        <references count="3">
          <reference field="1" count="1" selected="0">
            <x v="1"/>
          </reference>
          <reference field="5" count="1" selected="0">
            <x v="15"/>
          </reference>
          <reference field="11" count="7">
            <x v="125"/>
            <x v="126"/>
            <x v="127"/>
            <x v="210"/>
            <x v="214"/>
            <x v="237"/>
            <x v="238"/>
          </reference>
        </references>
      </pivotArea>
    </format>
    <format dxfId="1058">
      <pivotArea dataOnly="0" labelOnly="1" outline="0" fieldPosition="0">
        <references count="3">
          <reference field="1" count="1" selected="0">
            <x v="1"/>
          </reference>
          <reference field="5" count="1" selected="0">
            <x v="16"/>
          </reference>
          <reference field="11" count="3">
            <x v="137"/>
            <x v="138"/>
            <x v="240"/>
          </reference>
        </references>
      </pivotArea>
    </format>
    <format dxfId="105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5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55">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54">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53">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52">
      <pivotArea dataOnly="0" labelOnly="1" outline="0" fieldPosition="0">
        <references count="4">
          <reference field="1" count="1" selected="0">
            <x v="0"/>
          </reference>
          <reference field="5" count="1" selected="0">
            <x v="0"/>
          </reference>
          <reference field="11" count="1" selected="0">
            <x v="121"/>
          </reference>
          <reference field="12" count="1">
            <x v="48"/>
          </reference>
        </references>
      </pivotArea>
    </format>
    <format dxfId="1051">
      <pivotArea dataOnly="0" labelOnly="1" outline="0" fieldPosition="0">
        <references count="4">
          <reference field="1" count="1" selected="0">
            <x v="0"/>
          </reference>
          <reference field="5" count="1" selected="0">
            <x v="0"/>
          </reference>
          <reference field="11" count="1" selected="0">
            <x v="140"/>
          </reference>
          <reference field="12" count="1">
            <x v="51"/>
          </reference>
        </references>
      </pivotArea>
    </format>
    <format dxfId="1050">
      <pivotArea dataOnly="0" labelOnly="1" outline="0" fieldPosition="0">
        <references count="4">
          <reference field="1" count="1" selected="0">
            <x v="0"/>
          </reference>
          <reference field="5" count="1" selected="0">
            <x v="0"/>
          </reference>
          <reference field="11" count="1" selected="0">
            <x v="158"/>
          </reference>
          <reference field="12" count="1">
            <x v="160"/>
          </reference>
        </references>
      </pivotArea>
    </format>
    <format dxfId="1049">
      <pivotArea dataOnly="0" labelOnly="1" outline="0" fieldPosition="0">
        <references count="4">
          <reference field="1" count="1" selected="0">
            <x v="0"/>
          </reference>
          <reference field="5" count="1" selected="0">
            <x v="0"/>
          </reference>
          <reference field="11" count="1" selected="0">
            <x v="166"/>
          </reference>
          <reference field="12" count="1">
            <x v="44"/>
          </reference>
        </references>
      </pivotArea>
    </format>
    <format dxfId="1048">
      <pivotArea dataOnly="0" labelOnly="1" outline="0" fieldPosition="0">
        <references count="4">
          <reference field="1" count="1" selected="0">
            <x v="0"/>
          </reference>
          <reference field="5" count="1" selected="0">
            <x v="0"/>
          </reference>
          <reference field="11" count="1" selected="0">
            <x v="181"/>
          </reference>
          <reference field="12" count="1">
            <x v="52"/>
          </reference>
        </references>
      </pivotArea>
    </format>
    <format dxfId="1047">
      <pivotArea dataOnly="0" labelOnly="1" outline="0" fieldPosition="0">
        <references count="4">
          <reference field="1" count="1" selected="0">
            <x v="0"/>
          </reference>
          <reference field="5" count="1" selected="0">
            <x v="0"/>
          </reference>
          <reference field="11" count="1" selected="0">
            <x v="200"/>
          </reference>
          <reference field="12" count="1">
            <x v="50"/>
          </reference>
        </references>
      </pivotArea>
    </format>
    <format dxfId="104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45">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44">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43">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42">
      <pivotArea dataOnly="0" labelOnly="1" outline="0" fieldPosition="0">
        <references count="4">
          <reference field="1" count="1" selected="0">
            <x v="0"/>
          </reference>
          <reference field="5" count="1" selected="0">
            <x v="1"/>
          </reference>
          <reference field="11" count="1" selected="0">
            <x v="156"/>
          </reference>
          <reference field="12" count="1">
            <x v="175"/>
          </reference>
        </references>
      </pivotArea>
    </format>
    <format dxfId="1041">
      <pivotArea dataOnly="0" labelOnly="1" outline="0" fieldPosition="0">
        <references count="4">
          <reference field="1" count="1" selected="0">
            <x v="0"/>
          </reference>
          <reference field="5" count="1" selected="0">
            <x v="1"/>
          </reference>
          <reference field="11" count="1" selected="0">
            <x v="205"/>
          </reference>
          <reference field="12" count="1">
            <x v="216"/>
          </reference>
        </references>
      </pivotArea>
    </format>
    <format dxfId="104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3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3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3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3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3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3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33">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32">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31">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30">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29">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28">
      <pivotArea dataOnly="0" labelOnly="1" outline="0" fieldPosition="0">
        <references count="4">
          <reference field="1" count="1" selected="0">
            <x v="0"/>
          </reference>
          <reference field="5" count="1" selected="0">
            <x v="2"/>
          </reference>
          <reference field="11" count="1" selected="0">
            <x v="136"/>
          </reference>
          <reference field="12" count="1">
            <x v="159"/>
          </reference>
        </references>
      </pivotArea>
    </format>
    <format dxfId="1027">
      <pivotArea dataOnly="0" labelOnly="1" outline="0" fieldPosition="0">
        <references count="4">
          <reference field="1" count="1" selected="0">
            <x v="0"/>
          </reference>
          <reference field="5" count="1" selected="0">
            <x v="2"/>
          </reference>
          <reference field="11" count="1" selected="0">
            <x v="141"/>
          </reference>
          <reference field="12" count="1">
            <x v="97"/>
          </reference>
        </references>
      </pivotArea>
    </format>
    <format dxfId="1026">
      <pivotArea dataOnly="0" labelOnly="1" outline="0" fieldPosition="0">
        <references count="4">
          <reference field="1" count="1" selected="0">
            <x v="0"/>
          </reference>
          <reference field="5" count="1" selected="0">
            <x v="2"/>
          </reference>
          <reference field="11" count="1" selected="0">
            <x v="165"/>
          </reference>
          <reference field="12" count="1">
            <x v="150"/>
          </reference>
        </references>
      </pivotArea>
    </format>
    <format dxfId="1025">
      <pivotArea dataOnly="0" labelOnly="1" outline="0" fieldPosition="0">
        <references count="4">
          <reference field="1" count="1" selected="0">
            <x v="0"/>
          </reference>
          <reference field="5" count="1" selected="0">
            <x v="2"/>
          </reference>
          <reference field="11" count="1" selected="0">
            <x v="168"/>
          </reference>
          <reference field="12" count="1">
            <x v="151"/>
          </reference>
        </references>
      </pivotArea>
    </format>
    <format dxfId="1024">
      <pivotArea dataOnly="0" labelOnly="1" outline="0" fieldPosition="0">
        <references count="4">
          <reference field="1" count="1" selected="0">
            <x v="0"/>
          </reference>
          <reference field="5" count="1" selected="0">
            <x v="2"/>
          </reference>
          <reference field="11" count="1" selected="0">
            <x v="195"/>
          </reference>
          <reference field="12" count="1">
            <x v="152"/>
          </reference>
        </references>
      </pivotArea>
    </format>
    <format dxfId="1023">
      <pivotArea dataOnly="0" labelOnly="1" outline="0" fieldPosition="0">
        <references count="4">
          <reference field="1" count="1" selected="0">
            <x v="0"/>
          </reference>
          <reference field="5" count="1" selected="0">
            <x v="2"/>
          </reference>
          <reference field="11" count="1" selected="0">
            <x v="201"/>
          </reference>
          <reference field="12" count="1">
            <x v="99"/>
          </reference>
        </references>
      </pivotArea>
    </format>
    <format dxfId="1022">
      <pivotArea dataOnly="0" labelOnly="1" outline="0" fieldPosition="0">
        <references count="4">
          <reference field="1" count="1" selected="0">
            <x v="0"/>
          </reference>
          <reference field="5" count="1" selected="0">
            <x v="2"/>
          </reference>
          <reference field="11" count="1" selected="0">
            <x v="213"/>
          </reference>
          <reference field="12" count="1">
            <x v="224"/>
          </reference>
        </references>
      </pivotArea>
    </format>
    <format dxfId="1021">
      <pivotArea dataOnly="0" labelOnly="1" outline="0" fieldPosition="0">
        <references count="4">
          <reference field="1" count="1" selected="0">
            <x v="0"/>
          </reference>
          <reference field="5" count="1" selected="0">
            <x v="2"/>
          </reference>
          <reference field="11" count="1" selected="0">
            <x v="217"/>
          </reference>
          <reference field="12" count="1">
            <x v="227"/>
          </reference>
        </references>
      </pivotArea>
    </format>
    <format dxfId="1020">
      <pivotArea dataOnly="0" labelOnly="1" outline="0" fieldPosition="0">
        <references count="4">
          <reference field="1" count="1" selected="0">
            <x v="0"/>
          </reference>
          <reference field="5" count="1" selected="0">
            <x v="2"/>
          </reference>
          <reference field="11" count="1" selected="0">
            <x v="235"/>
          </reference>
          <reference field="12" count="1">
            <x v="239"/>
          </reference>
        </references>
      </pivotArea>
    </format>
    <format dxfId="1019">
      <pivotArea dataOnly="0" labelOnly="1" outline="0" fieldPosition="0">
        <references count="4">
          <reference field="1" count="1" selected="0">
            <x v="0"/>
          </reference>
          <reference field="5" count="1" selected="0">
            <x v="2"/>
          </reference>
          <reference field="11" count="1" selected="0">
            <x v="244"/>
          </reference>
          <reference field="12" count="1">
            <x v="249"/>
          </reference>
        </references>
      </pivotArea>
    </format>
    <format dxfId="1018">
      <pivotArea dataOnly="0" labelOnly="1" outline="0" fieldPosition="0">
        <references count="4">
          <reference field="1" count="1" selected="0">
            <x v="0"/>
          </reference>
          <reference field="5" count="1" selected="0">
            <x v="2"/>
          </reference>
          <reference field="11" count="1" selected="0">
            <x v="245"/>
          </reference>
          <reference field="12" count="1">
            <x v="250"/>
          </reference>
        </references>
      </pivotArea>
    </format>
    <format dxfId="1017">
      <pivotArea dataOnly="0" labelOnly="1" outline="0" fieldPosition="0">
        <references count="4">
          <reference field="1" count="1" selected="0">
            <x v="0"/>
          </reference>
          <reference field="5" count="1" selected="0">
            <x v="2"/>
          </reference>
          <reference field="11" count="1" selected="0">
            <x v="246"/>
          </reference>
          <reference field="12" count="1">
            <x v="251"/>
          </reference>
        </references>
      </pivotArea>
    </format>
    <format dxfId="1016">
      <pivotArea dataOnly="0" labelOnly="1" outline="0" fieldPosition="0">
        <references count="4">
          <reference field="1" count="1" selected="0">
            <x v="0"/>
          </reference>
          <reference field="5" count="1" selected="0">
            <x v="2"/>
          </reference>
          <reference field="11" count="1" selected="0">
            <x v="247"/>
          </reference>
          <reference field="12" count="1">
            <x v="252"/>
          </reference>
        </references>
      </pivotArea>
    </format>
    <format dxfId="1015">
      <pivotArea dataOnly="0" labelOnly="1" outline="0" fieldPosition="0">
        <references count="4">
          <reference field="1" count="1" selected="0">
            <x v="0"/>
          </reference>
          <reference field="5" count="1" selected="0">
            <x v="2"/>
          </reference>
          <reference field="11" count="1" selected="0">
            <x v="248"/>
          </reference>
          <reference field="12" count="1">
            <x v="253"/>
          </reference>
        </references>
      </pivotArea>
    </format>
    <format dxfId="1014">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1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12">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11">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10">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09">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08">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07">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06">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05">
      <pivotArea dataOnly="0" labelOnly="1" outline="0" fieldPosition="0">
        <references count="4">
          <reference field="1" count="1" selected="0">
            <x v="0"/>
          </reference>
          <reference field="5" count="1" selected="0">
            <x v="8"/>
          </reference>
          <reference field="11" count="1" selected="0">
            <x v="204"/>
          </reference>
          <reference field="12" count="1">
            <x v="214"/>
          </reference>
        </references>
      </pivotArea>
    </format>
    <format dxfId="1004">
      <pivotArea dataOnly="0" labelOnly="1" outline="0" fieldPosition="0">
        <references count="4">
          <reference field="1" count="1" selected="0">
            <x v="0"/>
          </reference>
          <reference field="5" count="1" selected="0">
            <x v="8"/>
          </reference>
          <reference field="11" count="1" selected="0">
            <x v="211"/>
          </reference>
          <reference field="12" count="1">
            <x v="222"/>
          </reference>
        </references>
      </pivotArea>
    </format>
    <format dxfId="1003">
      <pivotArea dataOnly="0" labelOnly="1" outline="0" fieldPosition="0">
        <references count="4">
          <reference field="1" count="1" selected="0">
            <x v="0"/>
          </reference>
          <reference field="5" count="1" selected="0">
            <x v="8"/>
          </reference>
          <reference field="11" count="1" selected="0">
            <x v="215"/>
          </reference>
          <reference field="12" count="1">
            <x v="225"/>
          </reference>
        </references>
      </pivotArea>
    </format>
    <format dxfId="1002">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01">
      <pivotArea dataOnly="0" labelOnly="1" outline="0" fieldPosition="0">
        <references count="4">
          <reference field="1" count="1" selected="0">
            <x v="0"/>
          </reference>
          <reference field="5" count="1" selected="0">
            <x v="10"/>
          </reference>
          <reference field="11" count="1" selected="0">
            <x v="144"/>
          </reference>
          <reference field="12" count="1">
            <x v="75"/>
          </reference>
        </references>
      </pivotArea>
    </format>
    <format dxfId="1000">
      <pivotArea dataOnly="0" labelOnly="1" outline="0" fieldPosition="0">
        <references count="4">
          <reference field="1" count="1" selected="0">
            <x v="0"/>
          </reference>
          <reference field="5" count="1" selected="0">
            <x v="10"/>
          </reference>
          <reference field="11" count="1" selected="0">
            <x v="228"/>
          </reference>
          <reference field="12" count="1">
            <x v="232"/>
          </reference>
        </references>
      </pivotArea>
    </format>
    <format dxfId="999">
      <pivotArea dataOnly="0" labelOnly="1" outline="0" fieldPosition="0">
        <references count="4">
          <reference field="1" count="1" selected="0">
            <x v="0"/>
          </reference>
          <reference field="5" count="1" selected="0">
            <x v="10"/>
          </reference>
          <reference field="11" count="1" selected="0">
            <x v="229"/>
          </reference>
          <reference field="12" count="1">
            <x v="233"/>
          </reference>
        </references>
      </pivotArea>
    </format>
    <format dxfId="998">
      <pivotArea dataOnly="0" labelOnly="1" outline="0" fieldPosition="0">
        <references count="4">
          <reference field="1" count="1" selected="0">
            <x v="0"/>
          </reference>
          <reference field="5" count="1" selected="0">
            <x v="10"/>
          </reference>
          <reference field="11" count="1" selected="0">
            <x v="230"/>
          </reference>
          <reference field="12" count="1">
            <x v="234"/>
          </reference>
        </references>
      </pivotArea>
    </format>
    <format dxfId="997">
      <pivotArea dataOnly="0" labelOnly="1" outline="0" fieldPosition="0">
        <references count="4">
          <reference field="1" count="1" selected="0">
            <x v="0"/>
          </reference>
          <reference field="5" count="1" selected="0">
            <x v="11"/>
          </reference>
          <reference field="11" count="1" selected="0">
            <x v="147"/>
          </reference>
          <reference field="12" count="1">
            <x v="130"/>
          </reference>
        </references>
      </pivotArea>
    </format>
    <format dxfId="996">
      <pivotArea dataOnly="0" labelOnly="1" outline="0" fieldPosition="0">
        <references count="4">
          <reference field="1" count="1" selected="0">
            <x v="0"/>
          </reference>
          <reference field="5" count="1" selected="0">
            <x v="11"/>
          </reference>
          <reference field="11" count="1" selected="0">
            <x v="178"/>
          </reference>
          <reference field="12" count="1">
            <x v="76"/>
          </reference>
        </references>
      </pivotArea>
    </format>
    <format dxfId="995">
      <pivotArea dataOnly="0" labelOnly="1" outline="0" fieldPosition="0">
        <references count="4">
          <reference field="1" count="1" selected="0">
            <x v="0"/>
          </reference>
          <reference field="5" count="1" selected="0">
            <x v="11"/>
          </reference>
          <reference field="11" count="1" selected="0">
            <x v="218"/>
          </reference>
          <reference field="12" count="1">
            <x v="228"/>
          </reference>
        </references>
      </pivotArea>
    </format>
    <format dxfId="994">
      <pivotArea dataOnly="0" labelOnly="1" outline="0" fieldPosition="0">
        <references count="4">
          <reference field="1" count="1" selected="0">
            <x v="0"/>
          </reference>
          <reference field="5" count="1" selected="0">
            <x v="11"/>
          </reference>
          <reference field="11" count="1" selected="0">
            <x v="219"/>
          </reference>
          <reference field="12" count="1">
            <x v="229"/>
          </reference>
        </references>
      </pivotArea>
    </format>
    <format dxfId="993">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992">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991">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990">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989">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988">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987">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986">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985">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984">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983">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982">
      <pivotArea dataOnly="0" labelOnly="1" outline="0" fieldPosition="0">
        <references count="4">
          <reference field="1" count="1" selected="0">
            <x v="0"/>
          </reference>
          <reference field="5" count="1" selected="0">
            <x v="12"/>
          </reference>
          <reference field="11" count="1" selected="0">
            <x v="112"/>
          </reference>
          <reference field="12" count="1">
            <x v="53"/>
          </reference>
        </references>
      </pivotArea>
    </format>
    <format dxfId="981">
      <pivotArea dataOnly="0" labelOnly="1" outline="0" fieldPosition="0">
        <references count="4">
          <reference field="1" count="1" selected="0">
            <x v="0"/>
          </reference>
          <reference field="5" count="1" selected="0">
            <x v="12"/>
          </reference>
          <reference field="11" count="1" selected="0">
            <x v="123"/>
          </reference>
          <reference field="12" count="1">
            <x v="58"/>
          </reference>
        </references>
      </pivotArea>
    </format>
    <format dxfId="980">
      <pivotArea dataOnly="0" labelOnly="1" outline="0" fieldPosition="0">
        <references count="4">
          <reference field="1" count="1" selected="0">
            <x v="0"/>
          </reference>
          <reference field="5" count="1" selected="0">
            <x v="12"/>
          </reference>
          <reference field="11" count="1" selected="0">
            <x v="150"/>
          </reference>
          <reference field="12" count="1">
            <x v="120"/>
          </reference>
        </references>
      </pivotArea>
    </format>
    <format dxfId="979">
      <pivotArea dataOnly="0" labelOnly="1" outline="0" fieldPosition="0">
        <references count="4">
          <reference field="1" count="1" selected="0">
            <x v="0"/>
          </reference>
          <reference field="5" count="1" selected="0">
            <x v="12"/>
          </reference>
          <reference field="11" count="1" selected="0">
            <x v="153"/>
          </reference>
          <reference field="12" count="1">
            <x v="69"/>
          </reference>
        </references>
      </pivotArea>
    </format>
    <format dxfId="978">
      <pivotArea dataOnly="0" labelOnly="1" outline="0" fieldPosition="0">
        <references count="4">
          <reference field="1" count="1" selected="0">
            <x v="0"/>
          </reference>
          <reference field="5" count="1" selected="0">
            <x v="12"/>
          </reference>
          <reference field="11" count="1" selected="0">
            <x v="155"/>
          </reference>
          <reference field="12" count="1">
            <x v="117"/>
          </reference>
        </references>
      </pivotArea>
    </format>
    <format dxfId="977">
      <pivotArea dataOnly="0" labelOnly="1" outline="0" fieldPosition="0">
        <references count="4">
          <reference field="1" count="1" selected="0">
            <x v="0"/>
          </reference>
          <reference field="5" count="1" selected="0">
            <x v="12"/>
          </reference>
          <reference field="11" count="1" selected="0">
            <x v="159"/>
          </reference>
          <reference field="12" count="1">
            <x v="62"/>
          </reference>
        </references>
      </pivotArea>
    </format>
    <format dxfId="976">
      <pivotArea dataOnly="0" labelOnly="1" outline="0" fieldPosition="0">
        <references count="4">
          <reference field="1" count="1" selected="0">
            <x v="0"/>
          </reference>
          <reference field="5" count="1" selected="0">
            <x v="12"/>
          </reference>
          <reference field="11" count="1" selected="0">
            <x v="170"/>
          </reference>
          <reference field="12" count="1">
            <x v="70"/>
          </reference>
        </references>
      </pivotArea>
    </format>
    <format dxfId="975">
      <pivotArea dataOnly="0" labelOnly="1" outline="0" fieldPosition="0">
        <references count="4">
          <reference field="1" count="1" selected="0">
            <x v="0"/>
          </reference>
          <reference field="5" count="1" selected="0">
            <x v="12"/>
          </reference>
          <reference field="11" count="1" selected="0">
            <x v="183"/>
          </reference>
          <reference field="12" count="1">
            <x v="57"/>
          </reference>
        </references>
      </pivotArea>
    </format>
    <format dxfId="974">
      <pivotArea dataOnly="0" labelOnly="1" outline="0" fieldPosition="0">
        <references count="4">
          <reference field="1" count="1" selected="0">
            <x v="0"/>
          </reference>
          <reference field="5" count="1" selected="0">
            <x v="12"/>
          </reference>
          <reference field="11" count="1" selected="0">
            <x v="233"/>
          </reference>
          <reference field="12" count="1">
            <x v="237"/>
          </reference>
        </references>
      </pivotArea>
    </format>
    <format dxfId="973">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972">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971">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970">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69">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68">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67">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66">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65">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64">
      <pivotArea dataOnly="0" labelOnly="1" outline="0" fieldPosition="0">
        <references count="4">
          <reference field="1" count="1" selected="0">
            <x v="0"/>
          </reference>
          <reference field="5" count="1" selected="0">
            <x v="14"/>
          </reference>
          <reference field="11" count="1" selected="0">
            <x v="139"/>
          </reference>
          <reference field="12" count="1">
            <x v="21"/>
          </reference>
        </references>
      </pivotArea>
    </format>
    <format dxfId="963">
      <pivotArea dataOnly="0" labelOnly="1" outline="0" fieldPosition="0">
        <references count="4">
          <reference field="1" count="1" selected="0">
            <x v="0"/>
          </reference>
          <reference field="5" count="1" selected="0">
            <x v="14"/>
          </reference>
          <reference field="11" count="1" selected="0">
            <x v="152"/>
          </reference>
          <reference field="12" count="1">
            <x v="1"/>
          </reference>
        </references>
      </pivotArea>
    </format>
    <format dxfId="962">
      <pivotArea dataOnly="0" labelOnly="1" outline="0" fieldPosition="0">
        <references count="4">
          <reference field="1" count="1" selected="0">
            <x v="0"/>
          </reference>
          <reference field="5" count="1" selected="0">
            <x v="14"/>
          </reference>
          <reference field="11" count="1" selected="0">
            <x v="154"/>
          </reference>
          <reference field="12" count="1">
            <x v="133"/>
          </reference>
        </references>
      </pivotArea>
    </format>
    <format dxfId="961">
      <pivotArea dataOnly="0" labelOnly="1" outline="0" fieldPosition="0">
        <references count="4">
          <reference field="1" count="1" selected="0">
            <x v="0"/>
          </reference>
          <reference field="5" count="1" selected="0">
            <x v="14"/>
          </reference>
          <reference field="11" count="1" selected="0">
            <x v="171"/>
          </reference>
          <reference field="12" count="1">
            <x v="5"/>
          </reference>
        </references>
      </pivotArea>
    </format>
    <format dxfId="960">
      <pivotArea dataOnly="0" labelOnly="1" outline="0" fieldPosition="0">
        <references count="4">
          <reference field="1" count="1" selected="0">
            <x v="0"/>
          </reference>
          <reference field="5" count="1" selected="0">
            <x v="14"/>
          </reference>
          <reference field="11" count="1" selected="0">
            <x v="172"/>
          </reference>
          <reference field="12" count="1">
            <x v="6"/>
          </reference>
        </references>
      </pivotArea>
    </format>
    <format dxfId="959">
      <pivotArea dataOnly="0" labelOnly="1" outline="0" fieldPosition="0">
        <references count="4">
          <reference field="1" count="1" selected="0">
            <x v="0"/>
          </reference>
          <reference field="5" count="1" selected="0">
            <x v="14"/>
          </reference>
          <reference field="11" count="1" selected="0">
            <x v="176"/>
          </reference>
          <reference field="12" count="1">
            <x v="8"/>
          </reference>
        </references>
      </pivotArea>
    </format>
    <format dxfId="958">
      <pivotArea dataOnly="0" labelOnly="1" outline="0" fieldPosition="0">
        <references count="4">
          <reference field="1" count="1" selected="0">
            <x v="0"/>
          </reference>
          <reference field="5" count="1" selected="0">
            <x v="14"/>
          </reference>
          <reference field="11" count="1" selected="0">
            <x v="184"/>
          </reference>
          <reference field="12" count="1">
            <x v="0"/>
          </reference>
        </references>
      </pivotArea>
    </format>
    <format dxfId="957">
      <pivotArea dataOnly="0" labelOnly="1" outline="0" fieldPosition="0">
        <references count="4">
          <reference field="1" count="1" selected="0">
            <x v="0"/>
          </reference>
          <reference field="5" count="1" selected="0">
            <x v="14"/>
          </reference>
          <reference field="11" count="1" selected="0">
            <x v="185"/>
          </reference>
          <reference field="12" count="1">
            <x v="3"/>
          </reference>
        </references>
      </pivotArea>
    </format>
    <format dxfId="956">
      <pivotArea dataOnly="0" labelOnly="1" outline="0" fieldPosition="0">
        <references count="4">
          <reference field="1" count="1" selected="0">
            <x v="0"/>
          </reference>
          <reference field="5" count="1" selected="0">
            <x v="14"/>
          </reference>
          <reference field="11" count="1" selected="0">
            <x v="186"/>
          </reference>
          <reference field="12" count="1">
            <x v="2"/>
          </reference>
        </references>
      </pivotArea>
    </format>
    <format dxfId="955">
      <pivotArea dataOnly="0" labelOnly="1" outline="0" fieldPosition="0">
        <references count="4">
          <reference field="1" count="1" selected="0">
            <x v="0"/>
          </reference>
          <reference field="5" count="1" selected="0">
            <x v="14"/>
          </reference>
          <reference field="11" count="1" selected="0">
            <x v="187"/>
          </reference>
          <reference field="12" count="1">
            <x v="4"/>
          </reference>
        </references>
      </pivotArea>
    </format>
    <format dxfId="954">
      <pivotArea dataOnly="0" labelOnly="1" outline="0" fieldPosition="0">
        <references count="4">
          <reference field="1" count="1" selected="0">
            <x v="0"/>
          </reference>
          <reference field="5" count="1" selected="0">
            <x v="14"/>
          </reference>
          <reference field="11" count="1" selected="0">
            <x v="199"/>
          </reference>
          <reference field="12" count="1">
            <x v="19"/>
          </reference>
        </references>
      </pivotArea>
    </format>
    <format dxfId="953">
      <pivotArea dataOnly="0" labelOnly="1" outline="0" fieldPosition="0">
        <references count="4">
          <reference field="1" count="1" selected="0">
            <x v="0"/>
          </reference>
          <reference field="5" count="1" selected="0">
            <x v="14"/>
          </reference>
          <reference field="11" count="1" selected="0">
            <x v="224"/>
          </reference>
          <reference field="12" count="1">
            <x v="20"/>
          </reference>
        </references>
      </pivotArea>
    </format>
    <format dxfId="952">
      <pivotArea dataOnly="0" labelOnly="1" outline="0" fieldPosition="0">
        <references count="4">
          <reference field="1" count="1" selected="0">
            <x v="0"/>
          </reference>
          <reference field="5" count="1" selected="0">
            <x v="17"/>
          </reference>
          <reference field="11" count="1" selected="0">
            <x v="191"/>
          </reference>
          <reference field="12" count="1">
            <x v="72"/>
          </reference>
        </references>
      </pivotArea>
    </format>
    <format dxfId="951">
      <pivotArea dataOnly="0" labelOnly="1" outline="0" fieldPosition="0">
        <references count="4">
          <reference field="1" count="1" selected="0">
            <x v="0"/>
          </reference>
          <reference field="5" count="1" selected="0">
            <x v="17"/>
          </reference>
          <reference field="11" count="1" selected="0">
            <x v="208"/>
          </reference>
          <reference field="12" count="1">
            <x v="218"/>
          </reference>
        </references>
      </pivotArea>
    </format>
    <format dxfId="950">
      <pivotArea dataOnly="0" labelOnly="1" outline="0" fieldPosition="0">
        <references count="4">
          <reference field="1" count="1" selected="0">
            <x v="0"/>
          </reference>
          <reference field="5" count="1" selected="0">
            <x v="17"/>
          </reference>
          <reference field="11" count="1" selected="0">
            <x v="226"/>
          </reference>
          <reference field="12" count="1">
            <x v="231"/>
          </reference>
        </references>
      </pivotArea>
    </format>
    <format dxfId="949">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48">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47">
      <pivotArea dataOnly="0" labelOnly="1" outline="0" fieldPosition="0">
        <references count="4">
          <reference field="1" count="1" selected="0">
            <x v="0"/>
          </reference>
          <reference field="5" count="1" selected="0">
            <x v="18"/>
          </reference>
          <reference field="11" count="1" selected="0">
            <x v="174"/>
          </reference>
          <reference field="12" count="1">
            <x v="64"/>
          </reference>
        </references>
      </pivotArea>
    </format>
    <format dxfId="946">
      <pivotArea dataOnly="0" labelOnly="1" outline="0" fieldPosition="0">
        <references count="4">
          <reference field="1" count="1" selected="0">
            <x v="0"/>
          </reference>
          <reference field="5" count="1" selected="0">
            <x v="18"/>
          </reference>
          <reference field="11" count="1" selected="0">
            <x v="175"/>
          </reference>
          <reference field="12" count="1">
            <x v="65"/>
          </reference>
        </references>
      </pivotArea>
    </format>
    <format dxfId="945">
      <pivotArea dataOnly="0" labelOnly="1" outline="0" fieldPosition="0">
        <references count="4">
          <reference field="1" count="1" selected="0">
            <x v="0"/>
          </reference>
          <reference field="5" count="1" selected="0">
            <x v="19"/>
          </reference>
          <reference field="11" count="1" selected="0">
            <x v="180"/>
          </reference>
          <reference field="12" count="1">
            <x v="172"/>
          </reference>
        </references>
      </pivotArea>
    </format>
    <format dxfId="944">
      <pivotArea dataOnly="0" labelOnly="1" outline="0" fieldPosition="0">
        <references count="4">
          <reference field="1" count="1" selected="0">
            <x v="0"/>
          </reference>
          <reference field="5" count="1" selected="0">
            <x v="19"/>
          </reference>
          <reference field="11" count="1" selected="0">
            <x v="231"/>
          </reference>
          <reference field="12" count="1">
            <x v="235"/>
          </reference>
        </references>
      </pivotArea>
    </format>
    <format dxfId="943">
      <pivotArea dataOnly="0" labelOnly="1" outline="0" fieldPosition="0">
        <references count="4">
          <reference field="1" count="1" selected="0">
            <x v="0"/>
          </reference>
          <reference field="5" count="1" selected="0">
            <x v="19"/>
          </reference>
          <reference field="11" count="1" selected="0">
            <x v="232"/>
          </reference>
          <reference field="12" count="1">
            <x v="236"/>
          </reference>
        </references>
      </pivotArea>
    </format>
    <format dxfId="942">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41">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40">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39">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38">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37">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36">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35">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34">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33">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32">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31">
      <pivotArea dataOnly="0" labelOnly="1" outline="0" fieldPosition="0">
        <references count="4">
          <reference field="1" count="1" selected="0">
            <x v="0"/>
          </reference>
          <reference field="5" count="1" selected="0">
            <x v="20"/>
          </reference>
          <reference field="11" count="1" selected="0">
            <x v="146"/>
          </reference>
          <reference field="12" count="1">
            <x v="30"/>
          </reference>
        </references>
      </pivotArea>
    </format>
    <format dxfId="930">
      <pivotArea dataOnly="0" labelOnly="1" outline="0" fieldPosition="0">
        <references count="4">
          <reference field="1" count="1" selected="0">
            <x v="0"/>
          </reference>
          <reference field="5" count="1" selected="0">
            <x v="20"/>
          </reference>
          <reference field="11" count="1" selected="0">
            <x v="160"/>
          </reference>
          <reference field="12" count="1">
            <x v="132"/>
          </reference>
        </references>
      </pivotArea>
    </format>
    <format dxfId="929">
      <pivotArea dataOnly="0" labelOnly="1" outline="0" fieldPosition="0">
        <references count="4">
          <reference field="1" count="1" selected="0">
            <x v="0"/>
          </reference>
          <reference field="5" count="1" selected="0">
            <x v="20"/>
          </reference>
          <reference field="11" count="1" selected="0">
            <x v="161"/>
          </reference>
          <reference field="12" count="1">
            <x v="29"/>
          </reference>
        </references>
      </pivotArea>
    </format>
    <format dxfId="928">
      <pivotArea dataOnly="0" labelOnly="1" outline="0" fieldPosition="0">
        <references count="4">
          <reference field="1" count="1" selected="0">
            <x v="0"/>
          </reference>
          <reference field="5" count="1" selected="0">
            <x v="20"/>
          </reference>
          <reference field="11" count="1" selected="0">
            <x v="162"/>
          </reference>
          <reference field="12" count="1">
            <x v="22"/>
          </reference>
        </references>
      </pivotArea>
    </format>
    <format dxfId="927">
      <pivotArea dataOnly="0" labelOnly="1" outline="0" fieldPosition="0">
        <references count="4">
          <reference field="1" count="1" selected="0">
            <x v="0"/>
          </reference>
          <reference field="5" count="1" selected="0">
            <x v="20"/>
          </reference>
          <reference field="11" count="1" selected="0">
            <x v="163"/>
          </reference>
          <reference field="12" count="1">
            <x v="27"/>
          </reference>
        </references>
      </pivotArea>
    </format>
    <format dxfId="926">
      <pivotArea dataOnly="0" labelOnly="1" outline="0" fieldPosition="0">
        <references count="4">
          <reference field="1" count="1" selected="0">
            <x v="0"/>
          </reference>
          <reference field="5" count="1" selected="0">
            <x v="20"/>
          </reference>
          <reference field="11" count="1" selected="0">
            <x v="164"/>
          </reference>
          <reference field="12" count="1">
            <x v="23"/>
          </reference>
        </references>
      </pivotArea>
    </format>
    <format dxfId="925">
      <pivotArea dataOnly="0" labelOnly="1" outline="0" fieldPosition="0">
        <references count="4">
          <reference field="1" count="1" selected="0">
            <x v="0"/>
          </reference>
          <reference field="5" count="1" selected="0">
            <x v="20"/>
          </reference>
          <reference field="11" count="1" selected="0">
            <x v="173"/>
          </reference>
          <reference field="12" count="1">
            <x v="38"/>
          </reference>
        </references>
      </pivotArea>
    </format>
    <format dxfId="924">
      <pivotArea dataOnly="0" labelOnly="1" outline="0" fieldPosition="0">
        <references count="4">
          <reference field="1" count="1" selected="0">
            <x v="0"/>
          </reference>
          <reference field="5" count="1" selected="0">
            <x v="20"/>
          </reference>
          <reference field="11" count="1" selected="0">
            <x v="188"/>
          </reference>
          <reference field="12" count="1">
            <x v="34"/>
          </reference>
        </references>
      </pivotArea>
    </format>
    <format dxfId="923">
      <pivotArea dataOnly="0" labelOnly="1" outline="0" fieldPosition="0">
        <references count="4">
          <reference field="1" count="1" selected="0">
            <x v="0"/>
          </reference>
          <reference field="5" count="1" selected="0">
            <x v="20"/>
          </reference>
          <reference field="11" count="1" selected="0">
            <x v="192"/>
          </reference>
          <reference field="12" count="1">
            <x v="35"/>
          </reference>
        </references>
      </pivotArea>
    </format>
    <format dxfId="922">
      <pivotArea dataOnly="0" labelOnly="1" outline="0" fieldPosition="0">
        <references count="4">
          <reference field="1" count="1" selected="0">
            <x v="0"/>
          </reference>
          <reference field="5" count="1" selected="0">
            <x v="20"/>
          </reference>
          <reference field="11" count="1" selected="0">
            <x v="196"/>
          </reference>
          <reference field="12" count="1">
            <x v="109"/>
          </reference>
        </references>
      </pivotArea>
    </format>
    <format dxfId="921">
      <pivotArea dataOnly="0" labelOnly="1" outline="0" fieldPosition="0">
        <references count="4">
          <reference field="1" count="1" selected="0">
            <x v="0"/>
          </reference>
          <reference field="5" count="1" selected="0">
            <x v="20"/>
          </reference>
          <reference field="11" count="1" selected="0">
            <x v="223"/>
          </reference>
          <reference field="12" count="1">
            <x v="113"/>
          </reference>
        </references>
      </pivotArea>
    </format>
    <format dxfId="920">
      <pivotArea dataOnly="0" labelOnly="1" outline="0" fieldPosition="0">
        <references count="4">
          <reference field="1" count="1" selected="0">
            <x v="0"/>
          </reference>
          <reference field="5" count="1" selected="0">
            <x v="20"/>
          </reference>
          <reference field="11" count="1" selected="0">
            <x v="225"/>
          </reference>
          <reference field="12" count="1">
            <x v="105"/>
          </reference>
        </references>
      </pivotArea>
    </format>
    <format dxfId="919">
      <pivotArea dataOnly="0" labelOnly="1" outline="0" fieldPosition="0">
        <references count="4">
          <reference field="1" count="1" selected="0">
            <x v="1"/>
          </reference>
          <reference field="5" count="1" selected="0">
            <x v="3"/>
          </reference>
          <reference field="11" count="1" selected="0">
            <x v="143"/>
          </reference>
          <reference field="12" count="1">
            <x v="209"/>
          </reference>
        </references>
      </pivotArea>
    </format>
    <format dxfId="918">
      <pivotArea dataOnly="0" labelOnly="1" outline="0" fieldPosition="0">
        <references count="4">
          <reference field="1" count="1" selected="0">
            <x v="1"/>
          </reference>
          <reference field="5" count="1" selected="0">
            <x v="3"/>
          </reference>
          <reference field="11" count="1" selected="0">
            <x v="227"/>
          </reference>
          <reference field="12" count="1">
            <x v="230"/>
          </reference>
        </references>
      </pivotArea>
    </format>
    <format dxfId="917">
      <pivotArea dataOnly="0" labelOnly="1" outline="0" fieldPosition="0">
        <references count="4">
          <reference field="1" count="1" selected="0">
            <x v="1"/>
          </reference>
          <reference field="5" count="1" selected="0">
            <x v="3"/>
          </reference>
          <reference field="11" count="1" selected="0">
            <x v="242"/>
          </reference>
          <reference field="12" count="1">
            <x v="247"/>
          </reference>
        </references>
      </pivotArea>
    </format>
    <format dxfId="916">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15">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14">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13">
      <pivotArea dataOnly="0" labelOnly="1" outline="0" fieldPosition="0">
        <references count="4">
          <reference field="1" count="1" selected="0">
            <x v="1"/>
          </reference>
          <reference field="5" count="1" selected="0">
            <x v="6"/>
          </reference>
          <reference field="11" count="1" selected="0">
            <x v="111"/>
          </reference>
          <reference field="12" count="1">
            <x v="203"/>
          </reference>
        </references>
      </pivotArea>
    </format>
    <format dxfId="912">
      <pivotArea dataOnly="0" labelOnly="1" outline="0" fieldPosition="0">
        <references count="4">
          <reference field="1" count="1" selected="0">
            <x v="1"/>
          </reference>
          <reference field="5" count="1" selected="0">
            <x v="6"/>
          </reference>
          <reference field="11" count="1" selected="0">
            <x v="118"/>
          </reference>
          <reference field="12" count="1">
            <x v="193"/>
          </reference>
        </references>
      </pivotArea>
    </format>
    <format dxfId="911">
      <pivotArea dataOnly="0" labelOnly="1" outline="0" fieldPosition="0">
        <references count="4">
          <reference field="1" count="1" selected="0">
            <x v="1"/>
          </reference>
          <reference field="5" count="1" selected="0">
            <x v="6"/>
          </reference>
          <reference field="11" count="1" selected="0">
            <x v="132"/>
          </reference>
          <reference field="12" count="1">
            <x v="194"/>
          </reference>
        </references>
      </pivotArea>
    </format>
    <format dxfId="910">
      <pivotArea dataOnly="0" labelOnly="1" outline="0" fieldPosition="0">
        <references count="4">
          <reference field="1" count="1" selected="0">
            <x v="1"/>
          </reference>
          <reference field="5" count="1" selected="0">
            <x v="6"/>
          </reference>
          <reference field="11" count="1" selected="0">
            <x v="203"/>
          </reference>
          <reference field="12" count="1">
            <x v="205"/>
          </reference>
        </references>
      </pivotArea>
    </format>
    <format dxfId="909">
      <pivotArea dataOnly="0" labelOnly="1" outline="0" fieldPosition="0">
        <references count="4">
          <reference field="1" count="1" selected="0">
            <x v="1"/>
          </reference>
          <reference field="5" count="1" selected="0">
            <x v="6"/>
          </reference>
          <reference field="11" count="1" selected="0">
            <x v="216"/>
          </reference>
          <reference field="12" count="1">
            <x v="226"/>
          </reference>
        </references>
      </pivotArea>
    </format>
    <format dxfId="908">
      <pivotArea dataOnly="0" labelOnly="1" outline="0" fieldPosition="0">
        <references count="4">
          <reference field="1" count="1" selected="0">
            <x v="1"/>
          </reference>
          <reference field="5" count="1" selected="0">
            <x v="6"/>
          </reference>
          <reference field="11" count="1" selected="0">
            <x v="234"/>
          </reference>
          <reference field="12" count="1">
            <x v="238"/>
          </reference>
        </references>
      </pivotArea>
    </format>
    <format dxfId="907">
      <pivotArea dataOnly="0" labelOnly="1" outline="0" fieldPosition="0">
        <references count="4">
          <reference field="1" count="1" selected="0">
            <x v="1"/>
          </reference>
          <reference field="5" count="1" selected="0">
            <x v="6"/>
          </reference>
          <reference field="11" count="1" selected="0">
            <x v="236"/>
          </reference>
          <reference field="12" count="1">
            <x v="241"/>
          </reference>
        </references>
      </pivotArea>
    </format>
    <format dxfId="906">
      <pivotArea dataOnly="0" labelOnly="1" outline="0" fieldPosition="0">
        <references count="4">
          <reference field="1" count="1" selected="0">
            <x v="1"/>
          </reference>
          <reference field="5" count="1" selected="0">
            <x v="6"/>
          </reference>
          <reference field="11" count="1" selected="0">
            <x v="239"/>
          </reference>
          <reference field="12" count="1">
            <x v="246"/>
          </reference>
        </references>
      </pivotArea>
    </format>
    <format dxfId="905">
      <pivotArea dataOnly="0" labelOnly="1" outline="0" fieldPosition="0">
        <references count="4">
          <reference field="1" count="1" selected="0">
            <x v="1"/>
          </reference>
          <reference field="5" count="1" selected="0">
            <x v="6"/>
          </reference>
          <reference field="11" count="1" selected="0">
            <x v="243"/>
          </reference>
          <reference field="12" count="1">
            <x v="248"/>
          </reference>
        </references>
      </pivotArea>
    </format>
    <format dxfId="904">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03">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02">
      <pivotArea dataOnly="0" labelOnly="1" outline="0" fieldPosition="0">
        <references count="4">
          <reference field="1" count="1" selected="0">
            <x v="1"/>
          </reference>
          <reference field="5" count="1" selected="0">
            <x v="9"/>
          </reference>
          <reference field="11" count="1" selected="0">
            <x v="241"/>
          </reference>
          <reference field="12" count="1">
            <x v="243"/>
          </reference>
        </references>
      </pivotArea>
    </format>
    <format dxfId="901">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00">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899">
      <pivotArea dataOnly="0" labelOnly="1" outline="0" fieldPosition="0">
        <references count="4">
          <reference field="1" count="1" selected="0">
            <x v="1"/>
          </reference>
          <reference field="5" count="1" selected="0">
            <x v="13"/>
          </reference>
          <reference field="11" count="1" selected="0">
            <x v="115"/>
          </reference>
          <reference field="12" count="1">
            <x v="192"/>
          </reference>
        </references>
      </pivotArea>
    </format>
    <format dxfId="898">
      <pivotArea dataOnly="0" labelOnly="1" outline="0" fieldPosition="0">
        <references count="4">
          <reference field="1" count="1" selected="0">
            <x v="1"/>
          </reference>
          <reference field="5" count="1" selected="0">
            <x v="13"/>
          </reference>
          <reference field="11" count="1" selected="0">
            <x v="131"/>
          </reference>
          <reference field="12" count="1">
            <x v="197"/>
          </reference>
        </references>
      </pivotArea>
    </format>
    <format dxfId="897">
      <pivotArea dataOnly="0" labelOnly="1" outline="0" fieldPosition="0">
        <references count="4">
          <reference field="1" count="1" selected="0">
            <x v="1"/>
          </reference>
          <reference field="5" count="1" selected="0">
            <x v="13"/>
          </reference>
          <reference field="11" count="1" selected="0">
            <x v="209"/>
          </reference>
          <reference field="12" count="1">
            <x v="219"/>
          </reference>
        </references>
      </pivotArea>
    </format>
    <format dxfId="896">
      <pivotArea dataOnly="0" labelOnly="1" outline="0" fieldPosition="0">
        <references count="4">
          <reference field="1" count="1" selected="0">
            <x v="1"/>
          </reference>
          <reference field="5" count="1" selected="0">
            <x v="13"/>
          </reference>
          <reference field="11" count="1" selected="0">
            <x v="212"/>
          </reference>
          <reference field="12" count="1">
            <x v="223"/>
          </reference>
        </references>
      </pivotArea>
    </format>
    <format dxfId="895">
      <pivotArea dataOnly="0" labelOnly="1" outline="0" fieldPosition="0">
        <references count="4">
          <reference field="1" count="1" selected="0">
            <x v="1"/>
          </reference>
          <reference field="5" count="1" selected="0">
            <x v="15"/>
          </reference>
          <reference field="11" count="1" selected="0">
            <x v="125"/>
          </reference>
          <reference field="12" count="1">
            <x v="191"/>
          </reference>
        </references>
      </pivotArea>
    </format>
    <format dxfId="894">
      <pivotArea dataOnly="0" labelOnly="1" outline="0" fieldPosition="0">
        <references count="4">
          <reference field="1" count="1" selected="0">
            <x v="1"/>
          </reference>
          <reference field="5" count="1" selected="0">
            <x v="15"/>
          </reference>
          <reference field="11" count="1" selected="0">
            <x v="126"/>
          </reference>
          <reference field="12" count="1">
            <x v="188"/>
          </reference>
        </references>
      </pivotArea>
    </format>
    <format dxfId="893">
      <pivotArea dataOnly="0" labelOnly="1" outline="0" fieldPosition="0">
        <references count="4">
          <reference field="1" count="1" selected="0">
            <x v="1"/>
          </reference>
          <reference field="5" count="1" selected="0">
            <x v="15"/>
          </reference>
          <reference field="11" count="1" selected="0">
            <x v="127"/>
          </reference>
          <reference field="12" count="1">
            <x v="190"/>
          </reference>
        </references>
      </pivotArea>
    </format>
    <format dxfId="892">
      <pivotArea dataOnly="0" labelOnly="1" outline="0" fieldPosition="0">
        <references count="4">
          <reference field="1" count="1" selected="0">
            <x v="1"/>
          </reference>
          <reference field="5" count="1" selected="0">
            <x v="15"/>
          </reference>
          <reference field="11" count="1" selected="0">
            <x v="210"/>
          </reference>
          <reference field="12" count="1">
            <x v="220"/>
          </reference>
        </references>
      </pivotArea>
    </format>
    <format dxfId="891">
      <pivotArea dataOnly="0" labelOnly="1" outline="0" fieldPosition="0">
        <references count="4">
          <reference field="1" count="1" selected="0">
            <x v="1"/>
          </reference>
          <reference field="5" count="1" selected="0">
            <x v="15"/>
          </reference>
          <reference field="11" count="1" selected="0">
            <x v="214"/>
          </reference>
          <reference field="12" count="1">
            <x v="221"/>
          </reference>
        </references>
      </pivotArea>
    </format>
    <format dxfId="890">
      <pivotArea dataOnly="0" labelOnly="1" outline="0" fieldPosition="0">
        <references count="4">
          <reference field="1" count="1" selected="0">
            <x v="1"/>
          </reference>
          <reference field="5" count="1" selected="0">
            <x v="15"/>
          </reference>
          <reference field="11" count="1" selected="0">
            <x v="237"/>
          </reference>
          <reference field="12" count="1">
            <x v="244"/>
          </reference>
        </references>
      </pivotArea>
    </format>
    <format dxfId="889">
      <pivotArea dataOnly="0" labelOnly="1" outline="0" fieldPosition="0">
        <references count="4">
          <reference field="1" count="1" selected="0">
            <x v="1"/>
          </reference>
          <reference field="5" count="1" selected="0">
            <x v="15"/>
          </reference>
          <reference field="11" count="1" selected="0">
            <x v="238"/>
          </reference>
          <reference field="12" count="1">
            <x v="245"/>
          </reference>
        </references>
      </pivotArea>
    </format>
    <format dxfId="888">
      <pivotArea dataOnly="0" labelOnly="1" outline="0" fieldPosition="0">
        <references count="4">
          <reference field="1" count="1" selected="0">
            <x v="1"/>
          </reference>
          <reference field="5" count="1" selected="0">
            <x v="16"/>
          </reference>
          <reference field="11" count="1" selected="0">
            <x v="137"/>
          </reference>
          <reference field="12" count="1">
            <x v="199"/>
          </reference>
        </references>
      </pivotArea>
    </format>
    <format dxfId="887">
      <pivotArea dataOnly="0" labelOnly="1" outline="0" fieldPosition="0">
        <references count="4">
          <reference field="1" count="1" selected="0">
            <x v="1"/>
          </reference>
          <reference field="5" count="1" selected="0">
            <x v="16"/>
          </reference>
          <reference field="11" count="1" selected="0">
            <x v="138"/>
          </reference>
          <reference field="12" count="1">
            <x v="211"/>
          </reference>
        </references>
      </pivotArea>
    </format>
    <format dxfId="886">
      <pivotArea dataOnly="0" labelOnly="1" outline="0" fieldPosition="0">
        <references count="4">
          <reference field="1" count="1" selected="0">
            <x v="1"/>
          </reference>
          <reference field="5" count="1" selected="0">
            <x v="16"/>
          </reference>
          <reference field="11" count="1" selected="0">
            <x v="240"/>
          </reference>
          <reference field="12" count="1">
            <x v="242"/>
          </reference>
        </references>
      </pivotArea>
    </format>
    <format dxfId="885">
      <pivotArea dataOnly="0" labelOnly="1" outline="0" fieldPosition="0">
        <references count="1">
          <reference field="4294967294" count="2">
            <x v="0"/>
            <x v="1"/>
          </reference>
        </references>
      </pivotArea>
    </format>
    <format dxfId="884">
      <pivotArea field="1" type="button" dataOnly="0" labelOnly="1" outline="0" axis="axisRow" fieldPosition="0"/>
    </format>
    <format dxfId="883">
      <pivotArea field="5" type="button" dataOnly="0" labelOnly="1" outline="0" axis="axisRow" fieldPosition="1"/>
    </format>
    <format dxfId="882">
      <pivotArea field="11" type="button" dataOnly="0" labelOnly="1" outline="0" axis="axisRow" fieldPosition="2"/>
    </format>
    <format dxfId="881">
      <pivotArea field="12" type="button" dataOnly="0" labelOnly="1" outline="0" axis="axisRow" fieldPosition="3"/>
    </format>
    <format dxfId="880">
      <pivotArea field="24" type="button" dataOnly="0" labelOnly="1" outline="0" axis="axisRow" fieldPosition="5"/>
    </format>
    <format dxfId="879">
      <pivotArea field="19" type="button" dataOnly="0" labelOnly="1" outline="0" axis="axisRow" fieldPosition="6"/>
    </format>
    <format dxfId="878">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G290" tableType="xml" totalsRowShown="0" headerRowDxfId="1238" dataDxfId="1237" headerRowCellStyle="Normal_Sheet11">
  <autoFilter ref="B4:AG290">
    <filterColumn colId="0">
      <filters>
        <filter val="Open"/>
      </filters>
    </filterColumn>
  </autoFilter>
  <sortState ref="B29:AL222">
    <sortCondition ref="N4:N285"/>
  </sortState>
  <tableColumns count="32">
    <tableColumn id="24" uniqueName="Status" name="Status" dataDxfId="1236" dataCellStyle="Normal_Sheet3_1">
      <xmlColumnPr mapId="11" xpath="/dataroot/Camp_x005f_x0020_List/Status" xmlDataType="string"/>
    </tableColumn>
    <tableColumn id="2" uniqueName="State" name="State" dataDxfId="1235">
      <xmlColumnPr mapId="11" xpath="/dataroot/Camp_x005f_x0020_List/State" xmlDataType="string"/>
    </tableColumn>
    <tableColumn id="12" uniqueName="S_Pcode" name="S_Pcode" dataDxfId="1234">
      <xmlColumnPr mapId="11" xpath="/dataroot/Camp_x005f_x0020_List/S_Pcode" xmlDataType="string"/>
    </tableColumn>
    <tableColumn id="23" uniqueName="District" name="District" dataDxfId="1233">
      <xmlColumnPr mapId="11" xpath="/dataroot/Camp_x005f_x0020_List/District" xmlDataType="string"/>
    </tableColumn>
    <tableColumn id="19" uniqueName="D_Pcode" name="D_Pcode" dataDxfId="1232">
      <xmlColumnPr mapId="11" xpath="/dataroot/Camp_x005f_x0020_List/D_Pcode" xmlDataType="string"/>
    </tableColumn>
    <tableColumn id="3" uniqueName="Township" name="Township" dataDxfId="1231">
      <xmlColumnPr mapId="11" xpath="/dataroot/Camp_x005f_x0020_List/Township" xmlDataType="string"/>
    </tableColumn>
    <tableColumn id="13" uniqueName="T_Pcode" name="T_Pcode" dataDxfId="1230">
      <xmlColumnPr mapId="11" xpath="/dataroot/Camp_x005f_x0020_List/T_Pcode" xmlDataType="string"/>
    </tableColumn>
    <tableColumn id="14" uniqueName="VillageTracKTown" name="VillageTracKTown" dataDxfId="1229">
      <xmlColumnPr mapId="11" xpath="/dataroot/Camp_x005f_x0020_List/VillageTracKTown" xmlDataType="string"/>
    </tableColumn>
    <tableColumn id="15" uniqueName="VTT_Pcode" name="VTT_Pcode" dataDxfId="1228">
      <xmlColumnPr mapId="11" xpath="/dataroot/Camp_x005f_x0020_List/VTT_Pcode" xmlDataType="string"/>
    </tableColumn>
    <tableColumn id="16" uniqueName="VillageWard_Name" name="VillageWard_Name" dataDxfId="1227">
      <xmlColumnPr mapId="11" xpath="/dataroot/Camp_x005f_x0020_List/VillageWard_Name" xmlDataType="string"/>
    </tableColumn>
    <tableColumn id="17" uniqueName="VW_Pcode" name="VW_Pcode" dataDxfId="1226">
      <xmlColumnPr mapId="11" xpath="/dataroot/Camp_x005f_x0020_List/VW_Pcode" xmlDataType="string"/>
    </tableColumn>
    <tableColumn id="4" uniqueName="Camp" name="Camp" dataDxfId="1225">
      <xmlColumnPr mapId="11" xpath="/dataroot/Camp_x005f_x0020_List/Camp" xmlDataType="string"/>
    </tableColumn>
    <tableColumn id="5" uniqueName="CP_Pcode" name="CP_Pcode" dataDxfId="1224">
      <xmlColumnPr mapId="11" xpath="/dataroot/Camp_x005f_x0020_List/CP_Pcode" xmlDataType="string"/>
    </tableColumn>
    <tableColumn id="6" uniqueName="Longitude" name="Longitude" dataDxfId="1223">
      <xmlColumnPr mapId="11" xpath="/dataroot/Camp_x005f_x0020_List/Longitude" xmlDataType="double"/>
    </tableColumn>
    <tableColumn id="7" uniqueName="Latitude" name="Latitude" dataDxfId="1222">
      <xmlColumnPr mapId="11" xpath="/dataroot/Camp_x005f_x0020_List/Latitude" xmlDataType="double"/>
    </tableColumn>
    <tableColumn id="25" uniqueName="Altitude" name="Altitude" dataDxfId="1221">
      <xmlColumnPr mapId="11" xpath="/dataroot/Camp_x005f_x0020_List/Altitude" xmlDataType="double"/>
    </tableColumn>
    <tableColumn id="8" uniqueName="HH" name="HH" dataDxfId="1220">
      <xmlColumnPr mapId="11" xpath="/dataroot/Camp_x005f_x0020_List/HH" xmlDataType="double"/>
    </tableColumn>
    <tableColumn id="9" uniqueName="Total" name="Total" dataDxfId="1219">
      <xmlColumnPr mapId="11" xpath="/dataroot/Camp_x005f_x0020_List/Total" xmlDataType="double"/>
    </tableColumn>
    <tableColumn id="11" uniqueName="Avg" name="Avg" dataDxfId="1218">
      <calculatedColumnFormula>IF(CampList[[#This Row],[HH]]&gt;0,CampList[[#This Row],[Total]]/CampList[[#This Row],[HH]],"NA")</calculatedColumnFormula>
      <xmlColumnPr mapId="11" xpath="/dataroot/Camp_x005f_x0020_List/Avg" xmlDataType="string"/>
    </tableColumn>
    <tableColumn id="28" uniqueName="Accessibility" name="Accessibility" dataDxfId="1217">
      <xmlColumnPr mapId="11" xpath="/dataroot/Camp_x005f_x0020_List/Accessibility" xmlDataType="string"/>
    </tableColumn>
    <tableColumn id="1" uniqueName="Affected Population" name="Affected Population" dataDxfId="1216">
      <xmlColumnPr mapId="11" xpath="/dataroot/Camp_x005f_x0020_List/Affected_x005f_x0020_Population" xmlDataType="string"/>
    </tableColumn>
    <tableColumn id="29" uniqueName="Type of Accomodation" name="Type of Accommodation" dataDxfId="1215">
      <xmlColumnPr mapId="11" xpath="/dataroot/Camp_x005f_x0020_List/Type_x005f_x0020_of_x005f_x0020_Accomodation" xmlDataType="string"/>
    </tableColumn>
    <tableColumn id="30" uniqueName="Type of Location" name="Type of Location" dataDxfId="1214">
      <xmlColumnPr mapId="11" xpath="/dataroot/Camp_x005f_x0020_List/Type_x005f_x0020_of_x005f_x0020_Location" xmlDataType="string"/>
    </tableColumn>
    <tableColumn id="31" uniqueName="Opening Date" name="Opening Date" dataDxfId="1213">
      <xmlColumnPr mapId="11" xpath="/dataroot/Camp_x005f_x0020_List/Opening_x005f_x0020_Date" xmlDataType="dateTime"/>
    </tableColumn>
    <tableColumn id="26" uniqueName="Responsible Agency" name="Responsible Agency" dataDxfId="1212">
      <xmlColumnPr mapId="11" xpath="/dataroot/Camp_x005f_x0020_List/Responsible_x005f_x0020_Agency" xmlDataType="string"/>
    </tableColumn>
    <tableColumn id="18" uniqueName="Source" name="Source" dataDxfId="1211">
      <xmlColumnPr mapId="11" xpath="/dataroot/Camp_x005f_x0020_List/Source" xmlDataType="string"/>
    </tableColumn>
    <tableColumn id="10" uniqueName="Update Date" name="Update Date" dataDxfId="1210">
      <xmlColumnPr mapId="11" xpath="/dataroot/Camp_x005f_x0020_List/Update_x005f_x0020_Date" xmlDataType="dateTime"/>
    </tableColumn>
    <tableColumn id="38" uniqueName="38" name="Date of attempt to follow up" dataDxfId="1209"/>
    <tableColumn id="21" uniqueName="Comment" name="Comment" dataDxfId="1208">
      <xmlColumnPr mapId="11" xpath="/dataroot/Camp_x005f_x0020_List/Comment" xmlDataType="string"/>
    </tableColumn>
    <tableColumn id="35" uniqueName="Nearest_Town" name="Nearest_Town" dataDxfId="1207">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06"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05">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319" dataDxfId="318">
  <autoFilter ref="L1:L24"/>
  <tableColumns count="1">
    <tableColumn id="1" name="Kachin" dataDxfId="317"/>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316" dataDxfId="315">
  <autoFilter ref="N1:N7"/>
  <tableColumns count="1">
    <tableColumn id="1" name="Shan_North" dataDxfId="314"/>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204"/>
    <tableColumn id="2" name="Nearest Town" dataDxfId="1203"/>
    <tableColumn id="3" name="distance" dataDxfId="1202"/>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148" dataDxfId="1146" totalsRowDxfId="1144" headerRowBorderDxfId="1147" tableBorderDxfId="1145" totalsRowBorderDxfId="1143" dataCellStyle="Percent">
  <autoFilter ref="T2:AG25"/>
  <tableColumns count="14">
    <tableColumn id="1" name="Pcode" dataDxfId="1142" totalsRowDxfId="1141"/>
    <tableColumn id="2" name="Township" totalsRowLabel="Kachin/Shan" dataDxfId="1140" totalsRowDxfId="1139"/>
    <tableColumn id="3" name="Long." totalsRowLabel="96.00" dataDxfId="1138" totalsRowDxfId="1137"/>
    <tableColumn id="4" name="Lat." totalsRowLabel="27.00" dataDxfId="1136" totalsRowDxfId="1135"/>
    <tableColumn id="5" name="HS" totalsRowFunction="sum" dataDxfId="1134" totalsRowDxfId="1133">
      <calculatedColumnFormula>#REF!</calculatedColumnFormula>
    </tableColumn>
    <tableColumn id="6" name="Pop" totalsRowFunction="sum" dataDxfId="1132" totalsRowDxfId="1131" dataCellStyle="Comma"/>
    <tableColumn id="7" name="N_cps" totalsRowFunction="custom" dataDxfId="1130" totalsRowDxfId="1129">
      <calculatedColumnFormula>CONCATENATE(AG2," cp",IF(AG2&gt;1,"s",""))</calculatedColumnFormula>
      <totalsRowFormula>CONCATENATE(Table58[[#Totals],[Column1]]," camps")</totalsRowFormula>
    </tableColumn>
    <tableColumn id="8" name="Coverage" totalsRowFunction="custom" dataDxfId="1128" totalsRowDxfId="1127" dataCellStyle="Percent">
      <calculatedColumnFormula>#REF!</calculatedColumnFormula>
      <totalsRowFormula>SUMPRODUCT(Table58[Pop]*Table58[Coverage])/Table58[[#Totals],[Pop]]</totalsRowFormula>
    </tableColumn>
    <tableColumn id="9" name="Hygiene" totalsRowFunction="custom" dataDxfId="1126" totalsRowDxfId="1125" dataCellStyle="Percent">
      <totalsRowFormula>SUMPRODUCT(Table58[Pop]*Table58[Hygiene])/Table58[[#Totals],[Pop]]</totalsRowFormula>
    </tableColumn>
    <tableColumn id="10" name="Core" totalsRowFunction="custom" dataDxfId="1124" totalsRowDxfId="1123" dataCellStyle="Percent">
      <totalsRowFormula>SUMPRODUCT(Table58[Pop]*Table58[Core])/Table58[[#Totals],[Pop]]</totalsRowFormula>
    </tableColumn>
    <tableColumn id="11" name="Sanitary" totalsRowFunction="custom" dataDxfId="1122" totalsRowDxfId="1121" dataCellStyle="Percent">
      <totalsRowFormula>SUMPRODUCT(Table58[Pop]*Table58[Sanitary])/Table58[[#Totals],[Pop]]</totalsRowFormula>
    </tableColumn>
    <tableColumn id="12" name="Y" totalsRowFunction="custom" dataDxfId="1120" totalsRowDxfId="1119">
      <calculatedColumnFormula>$S$3-ROUND((W3-$S$1)*$S$5,0)</calculatedColumnFormula>
      <totalsRowFormula>1000-ROUND((W26-23.5)*$S$5,0)</totalsRowFormula>
    </tableColumn>
    <tableColumn id="13" name="X" totalsRowFunction="custom" dataDxfId="1118" totalsRowDxfId="1117">
      <calculatedColumnFormula>ROUND((V3-$S$2)*$S$5,0)+$S$4</calculatedColumnFormula>
      <totalsRowFormula>ROUND((V26-96.5)*$S$5,0)+100</totalsRowFormula>
    </tableColumn>
    <tableColumn id="14" name="Column1" totalsRowFunction="sum" dataDxfId="1116" totalsRowDxfId="1115"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C16:CF32" totalsRowShown="0" headerRowDxfId="552" dataDxfId="550" headerRowBorderDxfId="551" tableBorderDxfId="549" totalsRowBorderDxfId="548">
  <autoFilter ref="CC16:CF32"/>
  <tableColumns count="4">
    <tableColumn id="1" name="Township" dataDxfId="547">
      <calculatedColumnFormula>B10</calculatedColumnFormula>
    </tableColumn>
    <tableColumn id="2" name="V1" dataDxfId="546">
      <calculatedColumnFormula>C10-Shelter_Draw[[#This Row],[V2]]-Shelter_Draw[[#This Row],[V3]]</calculatedColumnFormula>
    </tableColumn>
    <tableColumn id="3" name="V2" dataDxfId="545">
      <calculatedColumnFormula>H10</calculatedColumnFormula>
    </tableColumn>
    <tableColumn id="4" name="V3" dataDxfId="544">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543" dataDxfId="542" tableBorderDxfId="541">
  <tableColumns count="7">
    <tableColumn id="1" name="Township" dataDxfId="540"/>
    <tableColumn id="2" name="# HHs" dataDxfId="539"/>
    <tableColumn id="3" name="# Individuals" dataDxfId="538"/>
    <tableColumn id="4" name="# Shelters needed" dataDxfId="537"/>
    <tableColumn id="5" name="# Shelters planned" dataDxfId="536"/>
    <tableColumn id="6" name="# Shelter gap*" dataDxfId="535"/>
    <tableColumn id="7" name="Current coverage" dataDxfId="534">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H37" headerRowCount="0" totalsRowShown="0" headerRowDxfId="533" headerRowBorderDxfId="532" tableBorderDxfId="531">
  <tableColumns count="59">
    <tableColumn id="1" name="Column1" headerRowDxfId="530" dataDxfId="529"/>
    <tableColumn id="2" name="Column2" headerRowDxfId="528" dataDxfId="527"/>
    <tableColumn id="3" name="Column3" headerRowDxfId="526" dataDxfId="525"/>
    <tableColumn id="4" name="Column4" headerRowDxfId="524" dataDxfId="523"/>
    <tableColumn id="5" name="Column5" headerRowDxfId="522" dataDxfId="521"/>
    <tableColumn id="6" name="Column6" headerRowDxfId="520" dataDxfId="519"/>
    <tableColumn id="7" name="Column7" headerRowDxfId="518" dataDxfId="517"/>
    <tableColumn id="8" name="Column8" headerRowDxfId="516" dataDxfId="515"/>
    <tableColumn id="9" name="Column9" headerRowDxfId="514" dataDxfId="513"/>
    <tableColumn id="10" name="Column10" headerRowDxfId="512" dataDxfId="511"/>
    <tableColumn id="11" name="Column11" headerRowDxfId="510" dataDxfId="509"/>
    <tableColumn id="12" name="Column12" headerRowDxfId="508" dataDxfId="507"/>
    <tableColumn id="13" name="Column13" headerRowDxfId="506" dataDxfId="505"/>
    <tableColumn id="14" name="Column14" headerRowDxfId="504" dataDxfId="503"/>
    <tableColumn id="15" name="Column15" headerRowDxfId="502" dataDxfId="501"/>
    <tableColumn id="16" name="Column16" headerRowDxfId="500" dataDxfId="499"/>
    <tableColumn id="17" name="Column17" headerRowDxfId="498" dataDxfId="497"/>
    <tableColumn id="18" name="Column18" headerRowDxfId="496" dataDxfId="495"/>
    <tableColumn id="19" name="Column19" headerRowDxfId="494" dataDxfId="493"/>
    <tableColumn id="20" name="Column20" headerRowDxfId="492" dataDxfId="491"/>
    <tableColumn id="21" name="Column21" headerRowDxfId="490" dataDxfId="489"/>
    <tableColumn id="22" name="Column22" headerRowDxfId="488" dataDxfId="487"/>
    <tableColumn id="23" name="Column23" headerRowDxfId="486" dataDxfId="485"/>
    <tableColumn id="24" name="Column24" headerRowDxfId="484" dataDxfId="483"/>
    <tableColumn id="25" name="Column25" headerRowDxfId="482" dataDxfId="481"/>
    <tableColumn id="26" name="Column26" headerRowDxfId="480" dataDxfId="479"/>
    <tableColumn id="27" name="Column27" headerRowDxfId="478" dataDxfId="477"/>
    <tableColumn id="28" name="Column28" headerRowDxfId="476" dataDxfId="475"/>
    <tableColumn id="29" name="Column29" headerRowDxfId="474" dataDxfId="473"/>
    <tableColumn id="30" name="Column30" headerRowDxfId="472" dataDxfId="471"/>
    <tableColumn id="31" name="Column31" headerRowDxfId="470" dataDxfId="469"/>
    <tableColumn id="32" name="Column32" headerRowDxfId="468" dataDxfId="467"/>
    <tableColumn id="60" name="Column57" headerRowDxfId="466" dataDxfId="465"/>
    <tableColumn id="61" name="Column58" headerRowDxfId="464" dataDxfId="463"/>
    <tableColumn id="62" name="Column59" headerRowDxfId="462" dataDxfId="461"/>
    <tableColumn id="33" name="Column33" headerRowDxfId="460" dataDxfId="459"/>
    <tableColumn id="34" name="Column34" headerRowDxfId="458" dataDxfId="457"/>
    <tableColumn id="35" name="Column35" headerRowDxfId="456" dataDxfId="455"/>
    <tableColumn id="36" name="Column36" headerRowDxfId="454" dataDxfId="453"/>
    <tableColumn id="37" name="Column37" headerRowDxfId="452" dataDxfId="451"/>
    <tableColumn id="38" name="Column38" headerRowDxfId="450" dataDxfId="449"/>
    <tableColumn id="51" name="Column51" headerRowDxfId="448" dataDxfId="447"/>
    <tableColumn id="52" name="Column52" headerRowDxfId="446" dataDxfId="445"/>
    <tableColumn id="53" name="Column53" headerRowDxfId="444" dataDxfId="443"/>
    <tableColumn id="54" name="Column54" headerRowDxfId="442" dataDxfId="441"/>
    <tableColumn id="55" name="Column55" headerRowDxfId="440" dataDxfId="439"/>
    <tableColumn id="56" name="Column56" headerRowDxfId="438" dataDxfId="437"/>
    <tableColumn id="39" name="Column39" headerRowDxfId="436" dataDxfId="435"/>
    <tableColumn id="40" name="Column40" headerRowDxfId="434" dataDxfId="433"/>
    <tableColumn id="41" name="Column41" headerRowDxfId="432" dataDxfId="431"/>
    <tableColumn id="42" name="Column42" headerRowDxfId="430" dataDxfId="429"/>
    <tableColumn id="43" name="Column43" headerRowDxfId="428" dataDxfId="427"/>
    <tableColumn id="44" name="Column44" headerRowDxfId="426" dataDxfId="425"/>
    <tableColumn id="45" name="Column45" headerRowDxfId="424" dataDxfId="423"/>
    <tableColumn id="46" name="Column46" headerRowDxfId="422" dataDxfId="421"/>
    <tableColumn id="47" name="Column47" headerRowDxfId="420" dataDxfId="419"/>
    <tableColumn id="48" name="Column48" headerRowDxfId="418" dataDxfId="417"/>
    <tableColumn id="49" name="Column49" headerRowDxfId="416" dataDxfId="415"/>
    <tableColumn id="50" name="Column50" headerRowDxfId="414" dataDxfId="413"/>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S99" tableType="xml" totalsRowShown="0" headerRowDxfId="410" dataDxfId="408" headerRowBorderDxfId="409" tableBorderDxfId="407" totalsRowBorderDxfId="406">
  <autoFilter ref="B5:AS99"/>
  <sortState ref="B6:AX1172">
    <sortCondition descending="1" ref="B5:B1172"/>
  </sortState>
  <tableColumns count="44">
    <tableColumn id="1" uniqueName="Distribution Date" name="Distribution Date" dataDxfId="405">
      <xmlColumnPr mapId="8" xpath="/dataroot/NFI_x005f_x0020_Tracking/Distribution_x005f_x0020_Date" xmlDataType="dateTime"/>
    </tableColumn>
    <tableColumn id="2" uniqueName="Organization" name="Agency" dataDxfId="404">
      <xmlColumnPr mapId="8" xpath="/dataroot/NFI_x005f_x0020_Tracking/Organization" xmlDataType="string"/>
    </tableColumn>
    <tableColumn id="3" uniqueName="Implementing Partner" name="Implementing Partner" dataDxfId="403">
      <xmlColumnPr mapId="8" xpath="/dataroot/NFI_x005f_x0020_Tracking/Implementing_x005f_x0020_Partner" xmlDataType="string"/>
    </tableColumn>
    <tableColumn id="4" uniqueName="State" name="State" dataDxfId="402">
      <xmlColumnPr mapId="8" xpath="/dataroot/NFI_x005f_x0020_Tracking/State" xmlDataType="string"/>
    </tableColumn>
    <tableColumn id="5" uniqueName="Township" name="Township" dataDxfId="401">
      <xmlColumnPr mapId="8" xpath="/dataroot/NFI_x005f_x0020_Tracking/Township" xmlDataType="string"/>
    </tableColumn>
    <tableColumn id="6" uniqueName="Camp Name" name="Location" dataDxfId="400">
      <xmlColumnPr mapId="8" xpath="/dataroot/NFI_x005f_x0020_Tracking/Camp_x005f_x0020_Name" xmlDataType="string"/>
    </tableColumn>
    <tableColumn id="44" uniqueName="44" name="Cash for NFI (# of HHs covered)" dataDxfId="399"/>
    <tableColumn id="7" uniqueName="Hygiene Kit" name="Hygiene Kit" dataDxfId="398">
      <xmlColumnPr mapId="8" xpath="/dataroot/NFI_x005f_x0020_Tracking/Hygiene_x005f_x0020_Kit" xmlDataType="string"/>
    </tableColumn>
    <tableColumn id="8" uniqueName="NFI Core Kit" name="NFI Core Kit" dataDxfId="397">
      <xmlColumnPr mapId="8" xpath="/dataroot/NFI_x005f_x0020_Tracking/NFI_x005f_x0020_Core_x005f_x0020_Kit" xmlDataType="string"/>
    </tableColumn>
    <tableColumn id="9" uniqueName="Sanitary Kit" name="Sanitary Kit" dataDxfId="396">
      <xmlColumnPr mapId="8" xpath="/dataroot/NFI_x005f_x0020_Tracking/Sanitary_x005f_x0020_Kit" xmlDataType="string"/>
    </tableColumn>
    <tableColumn id="10" uniqueName="Mosquito net" name="Mosquito net" dataDxfId="395">
      <xmlColumnPr mapId="8" xpath="/dataroot/NFI_x005f_x0020_Tracking/Mosquito_x005f_x0020_net" xmlDataType="double"/>
    </tableColumn>
    <tableColumn id="11" uniqueName="Tarpaulin" name="Tarpaulin" dataDxfId="394">
      <xmlColumnPr mapId="8" xpath="/dataroot/NFI_x005f_x0020_Tracking/Tarpaulin" xmlDataType="double"/>
    </tableColumn>
    <tableColumn id="12" uniqueName="Blanket" name="Blanket" dataDxfId="393">
      <xmlColumnPr mapId="8" xpath="/dataroot/NFI_x005f_x0020_Tracking/Blanket" xmlDataType="double"/>
    </tableColumn>
    <tableColumn id="13" uniqueName="Kitchen Set" name="Kitchen Set" dataDxfId="392">
      <xmlColumnPr mapId="8" xpath="/dataroot/NFI_x005f_x0020_Tracking/Kitchen_x005f_x0020_Set" xmlDataType="double"/>
    </tableColumn>
    <tableColumn id="14" uniqueName="Clothes Kit" name="Clothes Kit" dataDxfId="391">
      <xmlColumnPr mapId="8" xpath="/dataroot/NFI_x005f_x0020_Tracking/Clothes_x005f_x0020_Kit" xmlDataType="double"/>
    </tableColumn>
    <tableColumn id="26" uniqueName="Plastic Bucket" name="Plastic Bucket" dataDxfId="390">
      <xmlColumnPr mapId="8" xpath="/dataroot/NFI_x005f_x0020_Tracking/Plastic_x005f_x0020_Bucket" xmlDataType="double"/>
    </tableColumn>
    <tableColumn id="25" uniqueName="Plastic Mat" name="Plastic Mat" dataDxfId="389">
      <xmlColumnPr mapId="8" xpath="/dataroot/NFI_x005f_x0020_Tracking/Plastic_x005f_x0020_Mat" xmlDataType="double"/>
    </tableColumn>
    <tableColumn id="47" uniqueName="Winter Clothes Adult" name="Winter Clothes Adult" dataDxfId="388">
      <xmlColumnPr mapId="8" xpath="/dataroot/NFI_x005f_x0020_Tracking/Winter_x005f_x0020_Clothes_x005f_x0020_Adult" xmlDataType="string"/>
    </tableColumn>
    <tableColumn id="46" uniqueName="Winter Clothes Children" name="Winter Clothes Children" dataDxfId="387">
      <xmlColumnPr mapId="8" xpath="/dataroot/NFI_x005f_x0020_Tracking/Winter_x005f_x0020_Clothes_x005f_x0020_Children" xmlDataType="string"/>
    </tableColumn>
    <tableColumn id="45" uniqueName="Winter Items Other" name="Winter Items Other" dataDxfId="386">
      <xmlColumnPr mapId="8" xpath="/dataroot/NFI_x005f_x0020_Tracking/Winter_x005f_x0020_Items_x005f_x0020_Other" xmlDataType="string"/>
    </tableColumn>
    <tableColumn id="32" uniqueName="Winter Blanket" name="Winter Blanket" dataDxfId="385">
      <xmlColumnPr mapId="8" xpath="/dataroot/NFI_x005f_x0020_Tracking/Winter_x005f_x0020_Blanket" xmlDataType="string"/>
    </tableColumn>
    <tableColumn id="38" uniqueName="38" name="Jerry Can" dataDxfId="384"/>
    <tableColumn id="23" uniqueName="23" name="Solar lamps" dataDxfId="383"/>
    <tableColumn id="41" uniqueName="41" name="Shelter Tool kit" dataDxfId="382"/>
    <tableColumn id="40" uniqueName="40" name="Tent" dataDxfId="381"/>
    <tableColumn id="16" uniqueName="NFI Core Kit_LS" name="NFI Core Kit_LS" dataDxfId="380">
      <calculatedColumnFormula>IF(NFI_Expiration=1,IF(#REF!&lt;VLOOKUP(J$5,NFI,5,0),1,0)*Table_NFI[[#This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9">
      <calculatedColumnFormula>IF(NFI_Expiration=1,IF(#REF!&lt;VLOOKUP(K$5,NFI,5,0),1,0)*Table_NFI[[#This Row],[Sanitary Kit]],Table_NFI[Sanitary Kit])</calculatedColumnFormula>
      <xmlColumnPr mapId="8" xpath="/dataroot/NFI_x005f_x0020_Tracking/Sanitary_x005f_x0020_Kit_LS" xmlDataType="string"/>
    </tableColumn>
    <tableColumn id="18" uniqueName="Mosquito net_LS" name="Mosquito net_LS" dataDxfId="378">
      <calculatedColumnFormula>IF(NFI_Expiration=1,IF(#REF!&lt;VLOOKUP(L$5,NFI,5,0),1,0)*Table_NFI[[#This Row],[Mosquito net]],Table_NFI[Mosquito net])</calculatedColumnFormula>
      <xmlColumnPr mapId="8" xpath="/dataroot/NFI_x005f_x0020_Tracking/Mosquito_x005f_x0020_net_LS" xmlDataType="string"/>
    </tableColumn>
    <tableColumn id="19" uniqueName="Tarpaulin_LS" name="Tarpaulin_LS" dataDxfId="377">
      <calculatedColumnFormula>IF(NFI_Expiration=1,IF(#REF!&lt;VLOOKUP(M$5,NFI,5,0),1,0)*Table_NFI[[#This Row],[Tarpaulin]],Table_NFI[[#This Row],[Tarpaulin]])</calculatedColumnFormula>
      <xmlColumnPr mapId="8" xpath="/dataroot/NFI_x005f_x0020_Tracking/Tarpaulin_LS" xmlDataType="string"/>
    </tableColumn>
    <tableColumn id="20" uniqueName="Blanket_LS" name="Blanket_LS" dataDxfId="376">
      <calculatedColumnFormula>IF(NFI_Expiration=1,IF(#REF!&lt;VLOOKUP(N$5,NFI,5,0),1,0)*Table_NFI[[#This Row],[Blanket]],Table_NFI[[#This Row],[Blanket]])</calculatedColumnFormula>
      <xmlColumnPr mapId="8" xpath="/dataroot/NFI_x005f_x0020_Tracking/Blanket_LS" xmlDataType="string"/>
    </tableColumn>
    <tableColumn id="21" uniqueName="Kitchen Set_LS" name="Kitchen Set_LS" dataDxfId="375">
      <calculatedColumnFormula>IF(NFI_Expiration=1,IF(#REF!&lt;VLOOKUP(O$5,NFI,5,0),1,0)*Table_NFI[[#This Row],[Kitchen Set]],Table_NFI[Kitchen Set])</calculatedColumnFormula>
      <xmlColumnPr mapId="8" xpath="/dataroot/NFI_x005f_x0020_Tracking/Kitchen_x005f_x0020_Set_LS" xmlDataType="string"/>
    </tableColumn>
    <tableColumn id="22" uniqueName="Clothes Kit_LS" name="Clothes Kit_LS" dataDxfId="374">
      <calculatedColumnFormula>IF(NFI_Expiration=1,IF(#REF!&lt;VLOOKUP(P$5,NFI,5,0),1,0)*Table_NFI[[#This Row],[Clothes Kit]],Table_NFI[Clothes Kit])</calculatedColumnFormula>
      <xmlColumnPr mapId="8" xpath="/dataroot/NFI_x005f_x0020_Tracking/Clothes_x005f_x0020_Kit_LS" xmlDataType="string"/>
    </tableColumn>
    <tableColumn id="28" uniqueName="Plastic Bucket _LS" name="Plastic Bucket _LS" dataDxfId="373">
      <calculatedColumnFormula>IF(NFI_Expiration=1,IF(#REF!&lt;VLOOKUP(Q$5,NFI,5,0),1,0)*Table_NFI[[#This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72">
      <calculatedColumnFormula>IF(NFI_Expiration=1,IF(#REF!&lt;VLOOKUP(R$5,NFI,5,0),1,0)*Table_NFI[[#This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71">
      <calculatedColumnFormula>IF(NFI_Expiration=1,IF(#REF!&lt;VLOOKUP(S$5,NFI,5,0),1,0)*Table_NFI[[#This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70">
      <calculatedColumnFormula>IF(NFI_Expiration=1,IF(#REF!&lt;VLOOKUP(T$5,NFI,5,0),1,0)*Table_NFI[[#This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369">
      <calculatedColumnFormula>IF(NFI_Expiration=1,IF(#REF!&lt;VLOOKUP(U$5,NFI,5,0),1,0)*Table_NFI[[#This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368">
      <calculatedColumnFormula>IF(NFI_Expiration=1,IF(#REF!&lt;VLOOKUP(N$5,NFI,5,0),1,0)*Table_NFI[[#This Row],[Winter Blanket]],Table_NFI[[#This Row],[Winter Blanket]])</calculatedColumnFormula>
      <xmlColumnPr mapId="8" xpath="/dataroot/NFI_x005f_x0020_Tracking/Winter_x005f_x0020_Blanket_LS" xmlDataType="string"/>
    </tableColumn>
    <tableColumn id="36" uniqueName="Winter" name="Winter" dataDxfId="367">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66">
      <calculatedColumnFormula>IF(NFI_Expiration=1,IF(#REF!&lt;VLOOKUP(W$5,NFI,5,0),1,0)*Table_NFI[[#This Row],[Jerry Can]],Table_NFI[Jerry Can])</calculatedColumnFormula>
    </tableColumn>
    <tableColumn id="42" uniqueName="42" name="Shelter Tool kit_LS" dataDxfId="365">
      <calculatedColumnFormula>IF(NFI_Expiration=1,IF(#REF!&lt;VLOOKUP(W$5,NFI,5,0),1,0)*Table_NFI[[#This Row],[Shelter Tool kit]],Table_NFI[Shelter Tool kit])</calculatedColumnFormula>
    </tableColumn>
    <tableColumn id="43" uniqueName="43" name="Tent_LS" dataDxfId="364">
      <calculatedColumnFormula>IF(NFI_Expiration=1,IF(#REF!&lt;VLOOKUP(W$5,NFI,5,0),1,0)*Table_NFI[[#This Row],[Tent]],Table_NFI[Tent])</calculatedColumnFormula>
    </tableColumn>
    <tableColumn id="24" uniqueName="Pcode" name="Pcode" dataDxfId="363">
      <calculatedColumnFormula>IFERROR(VLOOKUP(Table_NFI[[#This Row],[Location]],CL,2,0),"")</calculatedColumnFormula>
      <xmlColumnPr mapId="8" xpath="/dataroot/NFI_x005f_x0020_Tracking/Pcode" xmlDataType="string"/>
    </tableColumn>
    <tableColumn id="37" uniqueName="Comment" name="Comment" dataDxfId="362">
      <xmlColumnPr mapId="8" xpath="/dataroot/NFI_x005f_x0020_Tracking/Comment" xmlDataType="string"/>
    </tableColumn>
  </tableColumns>
  <tableStyleInfo name="TableStyleLight1" showFirstColumn="0" showLastColumn="0" showRowStripes="1" showColumnStripes="0"/>
</table>
</file>

<file path=xl/tables/table8.xml><?xml version="1.0" encoding="utf-8"?>
<table xmlns="http://schemas.openxmlformats.org/spreadsheetml/2006/main" id="10" name="Table10" displayName="Table10" ref="A1:N168" totalsRowShown="0" headerRowDxfId="359" headerRowBorderDxfId="358" tableBorderDxfId="357" totalsRowBorderDxfId="356">
  <autoFilter ref="A1:N168"/>
  <tableColumns count="14">
    <tableColumn id="5" name="Pcode" dataDxfId="355"/>
    <tableColumn id="2" name="Priority" dataDxfId="354">
      <calculatedColumnFormula>OFFSET(#REF!,MATCH(Table10[[#This Row],[Pcode]],CampList[CP_Pcode],0)-1,0,1,1)</calculatedColumnFormula>
    </tableColumn>
    <tableColumn id="1" name="Camp" dataDxfId="353">
      <calculatedColumnFormula>OFFSET(CampList[Camp],MATCH(Table10[[#This Row],[Pcode]],CampList[CP_Pcode],0)-1,0,1,1)</calculatedColumnFormula>
    </tableColumn>
    <tableColumn id="4" name="Township" dataDxfId="352">
      <calculatedColumnFormula>OFFSET(CampList[Township],MATCH(Table10[[#This Row],[Pcode]],CampList[CP_Pcode],0)-1,0,1,1)</calculatedColumnFormula>
    </tableColumn>
    <tableColumn id="6" name="HH" dataDxfId="351">
      <calculatedColumnFormula>OFFSET(CampList[HH],MATCH(Table10[[#This Row],[Pcode]],CampList[CP_Pcode],0)-1,0,1,1)</calculatedColumnFormula>
    </tableColumn>
    <tableColumn id="7" name="Ind" dataDxfId="350">
      <calculatedColumnFormula>OFFSET(CampList[Total],MATCH(Table10[[#This Row],[Pcode]],CampList[CP_Pcode],0)-1,0,1,1)</calculatedColumnFormula>
    </tableColumn>
    <tableColumn id="8" name="Winter Clothes Adult " dataDxfId="349">
      <calculatedColumnFormula>SUMIF('NFI Distributions'!AS$38:AS$1048576,Table10[[#This Row],[Pcode]],'NFI Distributions'!AK$38:AK$1048576)</calculatedColumnFormula>
    </tableColumn>
    <tableColumn id="9" name="Winter Clothes Children " dataDxfId="348">
      <calculatedColumnFormula>SUMIF('NFI Distributions'!AS$38:AS$1048576,Table10[[#This Row],[Pcode]],'NFI Distributions'!AL$38:AL$1048576)</calculatedColumnFormula>
    </tableColumn>
    <tableColumn id="10" name="Winter Items Other " dataDxfId="347">
      <calculatedColumnFormula>SUMIF('NFI Distributions'!AS$38:AS$1048576,Table10[[#This Row],[Pcode]],'NFI Distributions'!AM$38:AM$1048576)</calculatedColumnFormula>
    </tableColumn>
    <tableColumn id="11" name="WC_Adult_Gap" dataDxfId="346">
      <calculatedColumnFormula>MAX(Table10[[#This Row],[HH]]*VLOOKUP("Winter Clothes Adult",NFI,6)-Table10[[#This Row],[Winter Clothes Adult ]],0)</calculatedColumnFormula>
    </tableColumn>
    <tableColumn id="12" name="WC_Child_Gap" dataDxfId="345">
      <calculatedColumnFormula>MAX(Table10[[#This Row],[HH]]*VLOOKUP("Winter Clothes Children ",NFI,6)-Table10[[#This Row],[Winter Clothes Children ]],0)</calculatedColumnFormula>
    </tableColumn>
    <tableColumn id="13" name="WI_Other_Gap" dataDxfId="344">
      <calculatedColumnFormula>MAX(Table10[[#This Row],[HH]]*VLOOKUP("Winter Items Other ",NFI,6)-Table10[[#This Row],[Winter Items Other ]],0)</calculatedColumnFormula>
    </tableColumn>
    <tableColumn id="3" name="Planned Distribution" dataDxfId="343">
      <calculatedColumnFormula>IF(OR(Table10[[#This Row],[Winter Clothes Adult ]]&lt;&gt;0,Table10[[#This Row],[Winter Clothes Children ]]&lt;&gt;0,Table10[[#This Row],[Winter Items Other ]]&lt;&gt;0),"No","")</calculatedColumnFormula>
    </tableColumn>
    <tableColumn id="14" name="Check1" dataDxfId="342">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322" dataDxfId="321">
  <autoFilter ref="J1:J4"/>
  <tableColumns count="1">
    <tableColumn id="1" name="State" dataDxfId="3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drawing" Target="../drawings/drawing8.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1.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2.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AY415"/>
  <sheetViews>
    <sheetView showGridLines="0" showZeros="0" zoomScale="80" zoomScaleNormal="80" workbookViewId="0">
      <selection activeCell="S292" sqref="S292"/>
    </sheetView>
  </sheetViews>
  <sheetFormatPr defaultColWidth="8.85546875" defaultRowHeight="15.6" customHeight="1" x14ac:dyDescent="0.25"/>
  <cols>
    <col min="1" max="1" width="1.28515625" style="237" customWidth="1"/>
    <col min="2" max="2" width="7" style="243" customWidth="1"/>
    <col min="3" max="3" width="11.85546875" style="243" customWidth="1"/>
    <col min="4" max="4" width="9.28515625" style="239" hidden="1" customWidth="1"/>
    <col min="5" max="5" width="10.5703125" style="239" customWidth="1"/>
    <col min="6" max="6" width="13.85546875" style="239" hidden="1" customWidth="1"/>
    <col min="7" max="7" width="16.85546875" style="239" customWidth="1"/>
    <col min="8" max="8" width="19.28515625" style="239" hidden="1" customWidth="1"/>
    <col min="9" max="9" width="33.7109375" style="239" customWidth="1"/>
    <col min="10" max="10" width="1.7109375" style="239" hidden="1" customWidth="1"/>
    <col min="11" max="11" width="19.28515625" style="239" customWidth="1"/>
    <col min="12" max="12" width="19" style="239" hidden="1" customWidth="1"/>
    <col min="13" max="13" width="37" style="244" customWidth="1"/>
    <col min="14" max="14" width="16.85546875" style="239" customWidth="1"/>
    <col min="15" max="15" width="12.7109375" style="240" customWidth="1"/>
    <col min="16" max="16" width="9.7109375" style="240" customWidth="1"/>
    <col min="17" max="17" width="2" style="240" hidden="1" customWidth="1"/>
    <col min="18" max="18" width="15" style="379" customWidth="1"/>
    <col min="19" max="19" width="18.5703125" style="380" customWidth="1"/>
    <col min="20" max="20" width="14.7109375" style="246" customWidth="1"/>
    <col min="21" max="21" width="12.7109375" style="238" customWidth="1"/>
    <col min="22" max="22" width="14" style="192" customWidth="1"/>
    <col min="23" max="23" width="12.28515625" style="238" customWidth="1"/>
    <col min="24" max="24" width="11" style="238" customWidth="1"/>
    <col min="25" max="25" width="15.140625" style="249" customWidth="1"/>
    <col min="26" max="26" width="18.140625" style="250" customWidth="1"/>
    <col min="27" max="27" width="6.5703125" style="239" customWidth="1"/>
    <col min="28" max="29" width="12.42578125" style="240" customWidth="1"/>
    <col min="30" max="30" width="37.7109375" style="264" customWidth="1"/>
    <col min="31" max="31" width="16.7109375" style="238" customWidth="1"/>
    <col min="32" max="32" width="12.5703125" style="253" customWidth="1"/>
    <col min="33" max="33" width="12.42578125" style="240" customWidth="1"/>
    <col min="34" max="34" width="9.140625" style="14"/>
    <col min="35" max="35" width="9.140625" style="489"/>
    <col min="36" max="36" width="8.85546875" style="489"/>
    <col min="37" max="45" width="8.85546875" style="237"/>
    <col min="46" max="47" width="9.140625" style="2" customWidth="1"/>
    <col min="48" max="16384" width="8.85546875" style="237"/>
  </cols>
  <sheetData>
    <row r="1" spans="2:51" ht="8.4499999999999993" customHeight="1" x14ac:dyDescent="0.25"/>
    <row r="2" spans="2:51" s="235" customFormat="1" ht="15.6" customHeight="1" x14ac:dyDescent="0.25">
      <c r="B2" s="661" t="s">
        <v>1439</v>
      </c>
      <c r="C2" s="242"/>
      <c r="D2" s="242"/>
      <c r="E2" s="242"/>
      <c r="F2" s="242"/>
      <c r="G2" s="242"/>
      <c r="H2" s="242"/>
      <c r="I2" s="242" t="s">
        <v>1576</v>
      </c>
      <c r="J2" s="242"/>
      <c r="K2" s="640"/>
      <c r="L2" s="242"/>
      <c r="M2" s="832" t="s">
        <v>1587</v>
      </c>
      <c r="N2" s="242"/>
      <c r="O2" s="245"/>
      <c r="P2" s="245"/>
      <c r="Q2" s="245"/>
      <c r="R2" s="640"/>
      <c r="S2" s="640"/>
      <c r="T2" s="641"/>
      <c r="U2" s="241"/>
      <c r="V2" s="241"/>
      <c r="W2" s="241"/>
      <c r="X2" s="241"/>
      <c r="Y2" s="247"/>
      <c r="Z2" s="248"/>
      <c r="AA2" s="242"/>
      <c r="AB2" s="245"/>
      <c r="AC2" s="245"/>
      <c r="AD2" s="263"/>
      <c r="AE2" s="251"/>
      <c r="AF2" s="252"/>
      <c r="AG2" s="254"/>
      <c r="AH2" s="201"/>
      <c r="AI2" s="489"/>
      <c r="AJ2" s="489"/>
      <c r="AQ2" s="16"/>
      <c r="AR2" s="16"/>
    </row>
    <row r="3" spans="2:51" s="236" customFormat="1" ht="36" customHeight="1" x14ac:dyDescent="0.25">
      <c r="B3" s="830" t="s">
        <v>1752</v>
      </c>
      <c r="C3" s="831"/>
      <c r="D3" s="831"/>
      <c r="E3" s="642"/>
      <c r="F3" s="642"/>
      <c r="G3" s="642"/>
      <c r="H3" s="642"/>
      <c r="I3" s="655" t="s">
        <v>1575</v>
      </c>
      <c r="J3" s="642"/>
      <c r="K3" s="660"/>
      <c r="L3" s="642"/>
      <c r="M3" s="833"/>
      <c r="N3" s="655"/>
      <c r="O3" s="643"/>
      <c r="P3" s="643"/>
      <c r="Q3" s="643"/>
      <c r="R3" s="644"/>
      <c r="S3" s="644"/>
      <c r="T3" s="645"/>
      <c r="U3" s="646"/>
      <c r="V3" s="646"/>
      <c r="W3" s="646"/>
      <c r="X3" s="646"/>
      <c r="Y3" s="647"/>
      <c r="Z3" s="648"/>
      <c r="AA3" s="642"/>
      <c r="AB3" s="643"/>
      <c r="AC3" s="643"/>
      <c r="AD3" s="649"/>
      <c r="AE3" s="650"/>
      <c r="AF3" s="651"/>
      <c r="AG3" s="652"/>
      <c r="AH3" s="202"/>
      <c r="AI3" s="489"/>
      <c r="AJ3" s="489"/>
      <c r="AQ3" s="17"/>
      <c r="AR3" s="17"/>
    </row>
    <row r="4" spans="2:51" s="257" customFormat="1" ht="15.75" customHeight="1" x14ac:dyDescent="0.25">
      <c r="B4" s="259" t="s">
        <v>458</v>
      </c>
      <c r="C4" s="259" t="s">
        <v>392</v>
      </c>
      <c r="D4" s="259" t="s">
        <v>829</v>
      </c>
      <c r="E4" s="259" t="s">
        <v>478</v>
      </c>
      <c r="F4" s="259" t="s">
        <v>830</v>
      </c>
      <c r="G4" s="259" t="s">
        <v>0</v>
      </c>
      <c r="H4" s="259" t="s">
        <v>831</v>
      </c>
      <c r="I4" s="259" t="s">
        <v>832</v>
      </c>
      <c r="J4" s="259" t="s">
        <v>833</v>
      </c>
      <c r="K4" s="259" t="s">
        <v>477</v>
      </c>
      <c r="L4" s="259" t="s">
        <v>834</v>
      </c>
      <c r="M4" s="259" t="s">
        <v>508</v>
      </c>
      <c r="N4" s="259" t="s">
        <v>835</v>
      </c>
      <c r="O4" s="259" t="s">
        <v>1</v>
      </c>
      <c r="P4" s="260" t="s">
        <v>1102</v>
      </c>
      <c r="Q4" s="260" t="s">
        <v>782</v>
      </c>
      <c r="R4" s="260" t="s">
        <v>2</v>
      </c>
      <c r="S4" s="271" t="s">
        <v>3</v>
      </c>
      <c r="T4" s="279" t="s">
        <v>451</v>
      </c>
      <c r="U4" s="259" t="s">
        <v>457</v>
      </c>
      <c r="V4" s="260" t="s">
        <v>1054</v>
      </c>
      <c r="W4" s="259" t="s">
        <v>1768</v>
      </c>
      <c r="X4" s="260" t="s">
        <v>783</v>
      </c>
      <c r="Y4" s="261" t="s">
        <v>784</v>
      </c>
      <c r="Z4" s="260" t="s">
        <v>836</v>
      </c>
      <c r="AA4" s="402" t="s">
        <v>452</v>
      </c>
      <c r="AB4" s="280" t="s">
        <v>461</v>
      </c>
      <c r="AC4" s="280" t="s">
        <v>1568</v>
      </c>
      <c r="AD4" s="281" t="s">
        <v>456</v>
      </c>
      <c r="AE4" s="262" t="s">
        <v>1011</v>
      </c>
      <c r="AF4" s="282" t="s">
        <v>1012</v>
      </c>
      <c r="AG4" s="282" t="s">
        <v>1033</v>
      </c>
      <c r="AH4" s="256"/>
      <c r="AI4" s="490" t="s">
        <v>2</v>
      </c>
      <c r="AJ4" s="490" t="s">
        <v>3</v>
      </c>
      <c r="AX4" s="258"/>
      <c r="AY4" s="258"/>
    </row>
    <row r="5" spans="2:51" s="203" customFormat="1" ht="15.75" customHeight="1" x14ac:dyDescent="0.25">
      <c r="B5" s="283" t="s">
        <v>460</v>
      </c>
      <c r="C5" s="274" t="s">
        <v>378</v>
      </c>
      <c r="D5" s="274" t="s">
        <v>479</v>
      </c>
      <c r="E5" s="274" t="s">
        <v>237</v>
      </c>
      <c r="F5" s="274" t="s">
        <v>485</v>
      </c>
      <c r="G5" s="274" t="s">
        <v>237</v>
      </c>
      <c r="H5" s="274" t="s">
        <v>489</v>
      </c>
      <c r="I5" s="274" t="s">
        <v>612</v>
      </c>
      <c r="J5" s="274" t="s">
        <v>613</v>
      </c>
      <c r="K5" s="274" t="s">
        <v>617</v>
      </c>
      <c r="L5" s="274" t="s">
        <v>618</v>
      </c>
      <c r="M5" s="274" t="s">
        <v>238</v>
      </c>
      <c r="N5" s="274" t="s">
        <v>236</v>
      </c>
      <c r="O5" s="284">
        <v>97.386718999999999</v>
      </c>
      <c r="P5" s="284">
        <v>25.415482000000001</v>
      </c>
      <c r="Q5" s="285">
        <v>0</v>
      </c>
      <c r="R5" s="653">
        <v>69</v>
      </c>
      <c r="S5" s="653">
        <v>366</v>
      </c>
      <c r="T5" s="287">
        <f>IF(CampList[[#This Row],[HH]]&gt;0,CampList[[#This Row],[Total]]/CampList[[#This Row],[HH]],"NA")</f>
        <v>5.3043478260869561</v>
      </c>
      <c r="U5" s="276" t="s">
        <v>465</v>
      </c>
      <c r="V5" s="276" t="s">
        <v>1013</v>
      </c>
      <c r="W5" s="276" t="s">
        <v>508</v>
      </c>
      <c r="X5" s="276" t="s">
        <v>743</v>
      </c>
      <c r="Y5" s="421">
        <v>40695</v>
      </c>
      <c r="Z5" s="288" t="s">
        <v>424</v>
      </c>
      <c r="AA5" s="274" t="s">
        <v>776</v>
      </c>
      <c r="AB5" s="290">
        <v>43008</v>
      </c>
      <c r="AC5" s="290"/>
      <c r="AD5" s="291" t="s">
        <v>1359</v>
      </c>
      <c r="AE5" s="276" t="str">
        <f ca="1">IFERROR(OFFSET(DistanceToCamp[Nearest Town],MATCH(CampList[[#This Row],[CP_Pcode]],DistanceToCamp[CP_Pcode],0)-1,0,1,1),"")</f>
        <v>Myitkyina Town</v>
      </c>
      <c r="AF5" s="292">
        <f ca="1">IFERROR(OFFSET(DistanceToCamp[distance],MATCH(CampList[[#This Row],[CP_Pcode]],DistanceToCamp[CP_Pcode],0)-1,0,1,1),"")</f>
        <v>3.1341427522963001</v>
      </c>
      <c r="AG5" s="293">
        <f ca="1">IFERROR(INT(CampList[[#This Row],[Distance]]/5)+1,"")</f>
        <v>1</v>
      </c>
      <c r="AI5" s="489"/>
      <c r="AJ5" s="489"/>
    </row>
    <row r="6" spans="2:51" s="203" customFormat="1" ht="15.75" customHeight="1" x14ac:dyDescent="0.25">
      <c r="B6" s="283" t="s">
        <v>460</v>
      </c>
      <c r="C6" s="274" t="s">
        <v>378</v>
      </c>
      <c r="D6" s="274" t="s">
        <v>479</v>
      </c>
      <c r="E6" s="274" t="s">
        <v>237</v>
      </c>
      <c r="F6" s="274" t="s">
        <v>485</v>
      </c>
      <c r="G6" s="274" t="s">
        <v>237</v>
      </c>
      <c r="H6" s="274" t="s">
        <v>489</v>
      </c>
      <c r="I6" s="274" t="s">
        <v>612</v>
      </c>
      <c r="J6" s="274" t="s">
        <v>613</v>
      </c>
      <c r="K6" s="274" t="s">
        <v>621</v>
      </c>
      <c r="L6" s="274"/>
      <c r="M6" s="274" t="s">
        <v>268</v>
      </c>
      <c r="N6" s="274" t="s">
        <v>267</v>
      </c>
      <c r="O6" s="284">
        <v>97.394547000000003</v>
      </c>
      <c r="P6" s="284">
        <v>25.422194000000001</v>
      </c>
      <c r="Q6" s="285">
        <v>0</v>
      </c>
      <c r="R6" s="414">
        <v>67</v>
      </c>
      <c r="S6" s="653">
        <v>297</v>
      </c>
      <c r="T6" s="287">
        <f>IF(CampList[[#This Row],[HH]]&gt;0,CampList[[#This Row],[Total]]/CampList[[#This Row],[HH]],"NA")</f>
        <v>4.4328358208955221</v>
      </c>
      <c r="U6" s="276" t="s">
        <v>465</v>
      </c>
      <c r="V6" s="276" t="s">
        <v>1013</v>
      </c>
      <c r="W6" s="276" t="s">
        <v>508</v>
      </c>
      <c r="X6" s="276" t="s">
        <v>743</v>
      </c>
      <c r="Y6" s="421">
        <v>40695</v>
      </c>
      <c r="Z6" s="288" t="s">
        <v>424</v>
      </c>
      <c r="AA6" s="274" t="s">
        <v>776</v>
      </c>
      <c r="AB6" s="290">
        <v>43008</v>
      </c>
      <c r="AC6" s="290"/>
      <c r="AD6" s="291" t="s">
        <v>1360</v>
      </c>
      <c r="AE6" s="276" t="str">
        <f ca="1">IFERROR(OFFSET(DistanceToCamp[Nearest Town],MATCH(CampList[[#This Row],[CP_Pcode]],DistanceToCamp[CP_Pcode],0)-1,0,1,1),"")</f>
        <v>Myitkyina Town</v>
      </c>
      <c r="AF6" s="292">
        <f ca="1">IFERROR(OFFSET(DistanceToCamp[distance],MATCH(CampList[[#This Row],[CP_Pcode]],DistanceToCamp[CP_Pcode],0)-1,0,1,1),"")</f>
        <v>3.8820329084732199</v>
      </c>
      <c r="AG6" s="293">
        <f ca="1">IFERROR(INT(CampList[[#This Row],[Distance]]/5)+1,"")</f>
        <v>1</v>
      </c>
      <c r="AI6" s="489"/>
      <c r="AJ6" s="489"/>
    </row>
    <row r="7" spans="2:51" s="203" customFormat="1" ht="15.75" customHeight="1" x14ac:dyDescent="0.25">
      <c r="B7" s="283" t="s">
        <v>460</v>
      </c>
      <c r="C7" s="274" t="s">
        <v>378</v>
      </c>
      <c r="D7" s="274" t="s">
        <v>479</v>
      </c>
      <c r="E7" s="274" t="s">
        <v>237</v>
      </c>
      <c r="F7" s="274" t="s">
        <v>485</v>
      </c>
      <c r="G7" s="274" t="s">
        <v>237</v>
      </c>
      <c r="H7" s="274" t="s">
        <v>489</v>
      </c>
      <c r="I7" s="274" t="s">
        <v>612</v>
      </c>
      <c r="J7" s="274" t="s">
        <v>613</v>
      </c>
      <c r="K7" s="274" t="s">
        <v>617</v>
      </c>
      <c r="L7" s="274" t="s">
        <v>618</v>
      </c>
      <c r="M7" s="274" t="s">
        <v>250</v>
      </c>
      <c r="N7" s="274" t="s">
        <v>249</v>
      </c>
      <c r="O7" s="284">
        <v>97.377662999999998</v>
      </c>
      <c r="P7" s="284">
        <v>25.404752999999999</v>
      </c>
      <c r="Q7" s="285">
        <v>0</v>
      </c>
      <c r="R7" s="414">
        <v>30</v>
      </c>
      <c r="S7" s="653">
        <v>170</v>
      </c>
      <c r="T7" s="287">
        <f>IF(CampList[[#This Row],[HH]]&gt;0,CampList[[#This Row],[Total]]/CampList[[#This Row],[HH]],"NA")</f>
        <v>5.666666666666667</v>
      </c>
      <c r="U7" s="276" t="s">
        <v>465</v>
      </c>
      <c r="V7" s="276" t="s">
        <v>1013</v>
      </c>
      <c r="W7" s="276" t="s">
        <v>508</v>
      </c>
      <c r="X7" s="276" t="s">
        <v>743</v>
      </c>
      <c r="Y7" s="421">
        <v>40725</v>
      </c>
      <c r="Z7" s="288" t="s">
        <v>424</v>
      </c>
      <c r="AA7" s="274" t="s">
        <v>776</v>
      </c>
      <c r="AB7" s="290">
        <v>43008</v>
      </c>
      <c r="AC7" s="290"/>
      <c r="AD7" s="291" t="s">
        <v>1361</v>
      </c>
      <c r="AE7" s="276" t="str">
        <f ca="1">IFERROR(OFFSET(DistanceToCamp[Nearest Town],MATCH(CampList[[#This Row],[CP_Pcode]],DistanceToCamp[CP_Pcode],0)-1,0,1,1),"")</f>
        <v>Myitkyina Town</v>
      </c>
      <c r="AF7" s="292">
        <f ca="1">IFERROR(OFFSET(DistanceToCamp[distance],MATCH(CampList[[#This Row],[CP_Pcode]],DistanceToCamp[CP_Pcode],0)-1,0,1,1),"")</f>
        <v>2.3045478259125423</v>
      </c>
      <c r="AG7" s="293">
        <f ca="1">IFERROR(INT(CampList[[#This Row],[Distance]]/5)+1,"")</f>
        <v>1</v>
      </c>
      <c r="AI7" s="489"/>
      <c r="AJ7" s="489"/>
    </row>
    <row r="8" spans="2:51" s="203" customFormat="1" ht="15.75" customHeight="1" x14ac:dyDescent="0.25">
      <c r="B8" s="283" t="s">
        <v>460</v>
      </c>
      <c r="C8" s="274" t="s">
        <v>378</v>
      </c>
      <c r="D8" s="274" t="s">
        <v>479</v>
      </c>
      <c r="E8" s="274" t="s">
        <v>237</v>
      </c>
      <c r="F8" s="274" t="s">
        <v>485</v>
      </c>
      <c r="G8" s="274" t="s">
        <v>237</v>
      </c>
      <c r="H8" s="274" t="s">
        <v>489</v>
      </c>
      <c r="I8" s="274" t="s">
        <v>612</v>
      </c>
      <c r="J8" s="274" t="s">
        <v>613</v>
      </c>
      <c r="K8" s="274" t="s">
        <v>617</v>
      </c>
      <c r="L8" s="274" t="s">
        <v>618</v>
      </c>
      <c r="M8" s="274" t="s">
        <v>248</v>
      </c>
      <c r="N8" s="274" t="s">
        <v>247</v>
      </c>
      <c r="O8" s="284">
        <v>97.389778000000007</v>
      </c>
      <c r="P8" s="284">
        <v>25.417733999999999</v>
      </c>
      <c r="Q8" s="285">
        <v>0</v>
      </c>
      <c r="R8" s="414">
        <v>6</v>
      </c>
      <c r="S8" s="414">
        <v>31</v>
      </c>
      <c r="T8" s="287">
        <f>IF(CampList[[#This Row],[HH]]&gt;0,CampList[[#This Row],[Total]]/CampList[[#This Row],[HH]],"NA")</f>
        <v>5.166666666666667</v>
      </c>
      <c r="U8" s="276" t="s">
        <v>465</v>
      </c>
      <c r="V8" s="276" t="s">
        <v>1013</v>
      </c>
      <c r="W8" s="276" t="s">
        <v>508</v>
      </c>
      <c r="X8" s="276" t="s">
        <v>743</v>
      </c>
      <c r="Y8" s="421">
        <v>40756</v>
      </c>
      <c r="Z8" s="288" t="s">
        <v>462</v>
      </c>
      <c r="AA8" s="274" t="s">
        <v>776</v>
      </c>
      <c r="AB8" s="290">
        <v>43008</v>
      </c>
      <c r="AC8" s="290"/>
      <c r="AD8" s="291" t="s">
        <v>1333</v>
      </c>
      <c r="AE8" s="276" t="str">
        <f ca="1">IFERROR(OFFSET(DistanceToCamp[Nearest Town],MATCH(CampList[[#This Row],[CP_Pcode]],DistanceToCamp[CP_Pcode],0)-1,0,1,1),"")</f>
        <v>Myitkyina Town</v>
      </c>
      <c r="AF8" s="292">
        <f ca="1">IFERROR(OFFSET(DistanceToCamp[distance],MATCH(CampList[[#This Row],[CP_Pcode]],DistanceToCamp[CP_Pcode],0)-1,0,1,1),"")</f>
        <v>3.3637010801853577</v>
      </c>
      <c r="AG8" s="293">
        <f ca="1">IFERROR(INT(CampList[[#This Row],[Distance]]/5)+1,"")</f>
        <v>1</v>
      </c>
      <c r="AI8" s="489"/>
      <c r="AJ8" s="489"/>
    </row>
    <row r="9" spans="2:51" s="203" customFormat="1" ht="15.75" customHeight="1" x14ac:dyDescent="0.25">
      <c r="B9" s="283" t="s">
        <v>460</v>
      </c>
      <c r="C9" s="274" t="s">
        <v>378</v>
      </c>
      <c r="D9" s="274" t="s">
        <v>479</v>
      </c>
      <c r="E9" s="274" t="s">
        <v>237</v>
      </c>
      <c r="F9" s="274" t="s">
        <v>485</v>
      </c>
      <c r="G9" s="274" t="s">
        <v>237</v>
      </c>
      <c r="H9" s="274" t="s">
        <v>489</v>
      </c>
      <c r="I9" s="274" t="s">
        <v>612</v>
      </c>
      <c r="J9" s="274" t="s">
        <v>613</v>
      </c>
      <c r="K9" s="274" t="s">
        <v>617</v>
      </c>
      <c r="L9" s="274" t="s">
        <v>618</v>
      </c>
      <c r="M9" s="274" t="s">
        <v>274</v>
      </c>
      <c r="N9" s="274" t="s">
        <v>273</v>
      </c>
      <c r="O9" s="284">
        <v>97.382192000000003</v>
      </c>
      <c r="P9" s="284">
        <v>25.404015000000001</v>
      </c>
      <c r="Q9" s="285">
        <v>0</v>
      </c>
      <c r="R9" s="414">
        <v>46</v>
      </c>
      <c r="S9" s="653">
        <v>239</v>
      </c>
      <c r="T9" s="287">
        <f>IF(CampList[[#This Row],[HH]]&gt;0,CampList[[#This Row],[Total]]/CampList[[#This Row],[HH]],"NA")</f>
        <v>5.1956521739130439</v>
      </c>
      <c r="U9" s="276" t="s">
        <v>465</v>
      </c>
      <c r="V9" s="276" t="s">
        <v>1013</v>
      </c>
      <c r="W9" s="276" t="s">
        <v>508</v>
      </c>
      <c r="X9" s="276" t="s">
        <v>743</v>
      </c>
      <c r="Y9" s="421">
        <v>40817</v>
      </c>
      <c r="Z9" s="288" t="s">
        <v>424</v>
      </c>
      <c r="AA9" s="274" t="s">
        <v>776</v>
      </c>
      <c r="AB9" s="290">
        <v>43008</v>
      </c>
      <c r="AC9" s="290"/>
      <c r="AD9" s="291" t="s">
        <v>1362</v>
      </c>
      <c r="AE9" s="276" t="str">
        <f ca="1">IFERROR(OFFSET(DistanceToCamp[Nearest Town],MATCH(CampList[[#This Row],[CP_Pcode]],DistanceToCamp[CP_Pcode],0)-1,0,1,1),"")</f>
        <v>Myitkyina Town</v>
      </c>
      <c r="AF9" s="292">
        <f ca="1">IFERROR(OFFSET(DistanceToCamp[distance],MATCH(CampList[[#This Row],[CP_Pcode]],DistanceToCamp[CP_Pcode],0)-1,0,1,1),"")</f>
        <v>2.0123527499589278</v>
      </c>
      <c r="AG9" s="293">
        <f ca="1">IFERROR(INT(CampList[[#This Row],[Distance]]/5)+1,"")</f>
        <v>1</v>
      </c>
      <c r="AI9" s="489"/>
      <c r="AJ9" s="489"/>
    </row>
    <row r="10" spans="2:51" s="203" customFormat="1" ht="15.75" customHeight="1" x14ac:dyDescent="0.25">
      <c r="B10" s="283" t="s">
        <v>460</v>
      </c>
      <c r="C10" s="274" t="s">
        <v>378</v>
      </c>
      <c r="D10" s="274" t="s">
        <v>479</v>
      </c>
      <c r="E10" s="274" t="s">
        <v>237</v>
      </c>
      <c r="F10" s="274" t="s">
        <v>485</v>
      </c>
      <c r="G10" s="274" t="s">
        <v>237</v>
      </c>
      <c r="H10" s="274" t="s">
        <v>489</v>
      </c>
      <c r="I10" s="274" t="s">
        <v>612</v>
      </c>
      <c r="J10" s="274" t="s">
        <v>613</v>
      </c>
      <c r="K10" s="274" t="s">
        <v>622</v>
      </c>
      <c r="L10" s="274" t="s">
        <v>623</v>
      </c>
      <c r="M10" s="274" t="s">
        <v>276</v>
      </c>
      <c r="N10" s="274" t="s">
        <v>275</v>
      </c>
      <c r="O10" s="284">
        <v>97.399628000000007</v>
      </c>
      <c r="P10" s="284">
        <v>25.412313000000001</v>
      </c>
      <c r="Q10" s="285">
        <v>0</v>
      </c>
      <c r="R10" s="653">
        <v>121</v>
      </c>
      <c r="S10" s="653">
        <v>556</v>
      </c>
      <c r="T10" s="287">
        <f>IF(CampList[[#This Row],[HH]]&gt;0,CampList[[#This Row],[Total]]/CampList[[#This Row],[HH]],"NA")</f>
        <v>4.5950413223140494</v>
      </c>
      <c r="U10" s="276" t="s">
        <v>465</v>
      </c>
      <c r="V10" s="276" t="s">
        <v>1013</v>
      </c>
      <c r="W10" s="276" t="s">
        <v>508</v>
      </c>
      <c r="X10" s="276" t="s">
        <v>743</v>
      </c>
      <c r="Y10" s="421">
        <v>40756</v>
      </c>
      <c r="Z10" s="288" t="s">
        <v>424</v>
      </c>
      <c r="AA10" s="274" t="s">
        <v>776</v>
      </c>
      <c r="AB10" s="290">
        <v>43008</v>
      </c>
      <c r="AC10" s="290"/>
      <c r="AD10" s="291" t="s">
        <v>1363</v>
      </c>
      <c r="AE10" s="276" t="str">
        <f ca="1">IFERROR(OFFSET(DistanceToCamp[Nearest Town],MATCH(CampList[[#This Row],[CP_Pcode]],DistanceToCamp[CP_Pcode],0)-1,0,1,1),"")</f>
        <v>Myitkyina Town</v>
      </c>
      <c r="AF10" s="292">
        <f ca="1">IFERROR(OFFSET(DistanceToCamp[distance],MATCH(CampList[[#This Row],[CP_Pcode]],DistanceToCamp[CP_Pcode],0)-1,0,1,1),"")</f>
        <v>2.9133254097712102</v>
      </c>
      <c r="AG10" s="293">
        <f ca="1">IFERROR(INT(CampList[[#This Row],[Distance]]/5)+1,"")</f>
        <v>1</v>
      </c>
      <c r="AI10" s="489"/>
      <c r="AJ10" s="489"/>
    </row>
    <row r="11" spans="2:51" s="203" customFormat="1" ht="15.75" customHeight="1" x14ac:dyDescent="0.25">
      <c r="B11" s="283" t="s">
        <v>460</v>
      </c>
      <c r="C11" s="274" t="s">
        <v>378</v>
      </c>
      <c r="D11" s="274" t="s">
        <v>479</v>
      </c>
      <c r="E11" s="274" t="s">
        <v>237</v>
      </c>
      <c r="F11" s="274" t="s">
        <v>485</v>
      </c>
      <c r="G11" s="274" t="s">
        <v>237</v>
      </c>
      <c r="H11" s="274" t="s">
        <v>489</v>
      </c>
      <c r="I11" s="274" t="s">
        <v>612</v>
      </c>
      <c r="J11" s="274" t="s">
        <v>613</v>
      </c>
      <c r="K11" s="274" t="s">
        <v>622</v>
      </c>
      <c r="L11" s="274" t="s">
        <v>623</v>
      </c>
      <c r="M11" s="274" t="s">
        <v>278</v>
      </c>
      <c r="N11" s="274" t="s">
        <v>277</v>
      </c>
      <c r="O11" s="284">
        <v>97.418004999999994</v>
      </c>
      <c r="P11" s="284">
        <v>25.423817</v>
      </c>
      <c r="Q11" s="285">
        <v>0</v>
      </c>
      <c r="R11" s="653">
        <v>23</v>
      </c>
      <c r="S11" s="653">
        <v>114</v>
      </c>
      <c r="T11" s="287">
        <f>IF(CampList[[#This Row],[HH]]&gt;0,CampList[[#This Row],[Total]]/CampList[[#This Row],[HH]],"NA")</f>
        <v>4.9565217391304346</v>
      </c>
      <c r="U11" s="276" t="s">
        <v>465</v>
      </c>
      <c r="V11" s="276" t="s">
        <v>1013</v>
      </c>
      <c r="W11" s="276" t="s">
        <v>508</v>
      </c>
      <c r="X11" s="276" t="s">
        <v>743</v>
      </c>
      <c r="Y11" s="421">
        <v>40909</v>
      </c>
      <c r="Z11" s="288" t="s">
        <v>462</v>
      </c>
      <c r="AA11" s="274" t="s">
        <v>776</v>
      </c>
      <c r="AB11" s="290">
        <v>43008</v>
      </c>
      <c r="AC11" s="290"/>
      <c r="AD11" s="291" t="s">
        <v>1334</v>
      </c>
      <c r="AE11" s="276" t="str">
        <f ca="1">IFERROR(OFFSET(DistanceToCamp[Nearest Town],MATCH(CampList[[#This Row],[CP_Pcode]],DistanceToCamp[CP_Pcode],0)-1,0,1,1),"")</f>
        <v>Myitkyina Town</v>
      </c>
      <c r="AF11" s="292">
        <f ca="1">IFERROR(OFFSET(DistanceToCamp[distance],MATCH(CampList[[#This Row],[CP_Pcode]],DistanceToCamp[CP_Pcode],0)-1,0,1,1),"")</f>
        <v>4.9021696969220816</v>
      </c>
      <c r="AG11" s="293">
        <f ca="1">IFERROR(INT(CampList[[#This Row],[Distance]]/5)+1,"")</f>
        <v>1</v>
      </c>
      <c r="AI11" s="489"/>
      <c r="AJ11" s="489"/>
    </row>
    <row r="12" spans="2:51" s="203" customFormat="1" ht="15.75" customHeight="1" x14ac:dyDescent="0.25">
      <c r="B12" s="283" t="s">
        <v>460</v>
      </c>
      <c r="C12" s="274" t="s">
        <v>378</v>
      </c>
      <c r="D12" s="274" t="s">
        <v>479</v>
      </c>
      <c r="E12" s="274" t="s">
        <v>237</v>
      </c>
      <c r="F12" s="274" t="s">
        <v>485</v>
      </c>
      <c r="G12" s="274" t="s">
        <v>237</v>
      </c>
      <c r="H12" s="274" t="s">
        <v>489</v>
      </c>
      <c r="I12" s="291" t="s">
        <v>612</v>
      </c>
      <c r="J12" s="291" t="s">
        <v>613</v>
      </c>
      <c r="K12" s="291" t="s">
        <v>630</v>
      </c>
      <c r="L12" s="291" t="s">
        <v>631</v>
      </c>
      <c r="M12" s="274" t="s">
        <v>260</v>
      </c>
      <c r="N12" s="274" t="s">
        <v>259</v>
      </c>
      <c r="O12" s="284">
        <v>97.418694000000002</v>
      </c>
      <c r="P12" s="284">
        <v>25.428910999999999</v>
      </c>
      <c r="Q12" s="285">
        <v>0</v>
      </c>
      <c r="R12" s="414">
        <v>103</v>
      </c>
      <c r="S12" s="653">
        <v>581</v>
      </c>
      <c r="T12" s="287">
        <f>IF(CampList[[#This Row],[HH]]&gt;0,CampList[[#This Row],[Total]]/CampList[[#This Row],[HH]],"NA")</f>
        <v>5.6407766990291259</v>
      </c>
      <c r="U12" s="276" t="s">
        <v>465</v>
      </c>
      <c r="V12" s="276" t="s">
        <v>1013</v>
      </c>
      <c r="W12" s="276" t="s">
        <v>508</v>
      </c>
      <c r="X12" s="276" t="s">
        <v>743</v>
      </c>
      <c r="Y12" s="421">
        <v>40725</v>
      </c>
      <c r="Z12" s="288" t="s">
        <v>424</v>
      </c>
      <c r="AA12" s="308" t="s">
        <v>776</v>
      </c>
      <c r="AB12" s="290">
        <v>43008</v>
      </c>
      <c r="AC12" s="290"/>
      <c r="AD12" s="283" t="s">
        <v>1364</v>
      </c>
      <c r="AE12" s="276" t="str">
        <f ca="1">IFERROR(OFFSET(DistanceToCamp[Nearest Town],MATCH(CampList[[#This Row],[CP_Pcode]],DistanceToCamp[CP_Pcode],0)-1,0,1,1),"")</f>
        <v>Myitkyina Town</v>
      </c>
      <c r="AF12" s="292">
        <f ca="1">IFERROR(OFFSET(DistanceToCamp[distance],MATCH(CampList[[#This Row],[CP_Pcode]],DistanceToCamp[CP_Pcode],0)-1,0,1,1),"")</f>
        <v>5.4145379230647226</v>
      </c>
      <c r="AG12" s="293">
        <f ca="1">IFERROR(INT(CampList[[#This Row],[Distance]]/5)+1,"")</f>
        <v>2</v>
      </c>
      <c r="AI12" s="489"/>
      <c r="AJ12" s="489"/>
    </row>
    <row r="13" spans="2:51" s="203" customFormat="1" ht="15.75" customHeight="1" x14ac:dyDescent="0.25">
      <c r="B13" s="283" t="s">
        <v>460</v>
      </c>
      <c r="C13" s="274" t="s">
        <v>378</v>
      </c>
      <c r="D13" s="274" t="s">
        <v>479</v>
      </c>
      <c r="E13" s="274" t="s">
        <v>237</v>
      </c>
      <c r="F13" s="274" t="s">
        <v>485</v>
      </c>
      <c r="G13" s="274" t="s">
        <v>237</v>
      </c>
      <c r="H13" s="274" t="s">
        <v>489</v>
      </c>
      <c r="I13" s="274" t="s">
        <v>612</v>
      </c>
      <c r="J13" s="274" t="s">
        <v>613</v>
      </c>
      <c r="K13" s="274" t="s">
        <v>632</v>
      </c>
      <c r="L13" s="274" t="s">
        <v>633</v>
      </c>
      <c r="M13" s="274" t="s">
        <v>280</v>
      </c>
      <c r="N13" s="274" t="s">
        <v>279</v>
      </c>
      <c r="O13" s="284">
        <v>97.419403000000003</v>
      </c>
      <c r="P13" s="284">
        <v>25.440928</v>
      </c>
      <c r="Q13" s="285">
        <v>0</v>
      </c>
      <c r="R13" s="654">
        <v>91</v>
      </c>
      <c r="S13" s="654">
        <v>501</v>
      </c>
      <c r="T13" s="287">
        <f>IF(CampList[[#This Row],[HH]]&gt;0,CampList[[#This Row],[Total]]/CampList[[#This Row],[HH]],"NA")</f>
        <v>5.5054945054945055</v>
      </c>
      <c r="U13" s="276" t="s">
        <v>465</v>
      </c>
      <c r="V13" s="276" t="s">
        <v>1013</v>
      </c>
      <c r="W13" s="276" t="s">
        <v>508</v>
      </c>
      <c r="X13" s="276" t="s">
        <v>743</v>
      </c>
      <c r="Y13" s="421">
        <v>40725</v>
      </c>
      <c r="Z13" s="288" t="s">
        <v>424</v>
      </c>
      <c r="AA13" s="274" t="s">
        <v>776</v>
      </c>
      <c r="AB13" s="290">
        <v>43008</v>
      </c>
      <c r="AC13" s="290"/>
      <c r="AD13" s="291" t="s">
        <v>1365</v>
      </c>
      <c r="AE13" s="276" t="str">
        <f ca="1">IFERROR(OFFSET(DistanceToCamp[Nearest Town],MATCH(CampList[[#This Row],[CP_Pcode]],DistanceToCamp[CP_Pcode],0)-1,0,1,1),"")</f>
        <v>Myitkyina Town</v>
      </c>
      <c r="AF13" s="292">
        <f ca="1">IFERROR(OFFSET(DistanceToCamp[distance],MATCH(CampList[[#This Row],[CP_Pcode]],DistanceToCamp[CP_Pcode],0)-1,0,1,1),"")</f>
        <v>6.6198004689728469</v>
      </c>
      <c r="AG13" s="293">
        <f ca="1">IFERROR(INT(CampList[[#This Row],[Distance]]/5)+1,"")</f>
        <v>2</v>
      </c>
      <c r="AI13" s="489"/>
      <c r="AJ13" s="489"/>
    </row>
    <row r="14" spans="2:51" s="203" customFormat="1" ht="15.75" customHeight="1" x14ac:dyDescent="0.25">
      <c r="B14" s="283" t="s">
        <v>460</v>
      </c>
      <c r="C14" s="274" t="s">
        <v>378</v>
      </c>
      <c r="D14" s="274" t="s">
        <v>479</v>
      </c>
      <c r="E14" s="274" t="s">
        <v>237</v>
      </c>
      <c r="F14" s="274" t="s">
        <v>485</v>
      </c>
      <c r="G14" s="274" t="s">
        <v>237</v>
      </c>
      <c r="H14" s="274" t="s">
        <v>489</v>
      </c>
      <c r="I14" s="291" t="s">
        <v>612</v>
      </c>
      <c r="J14" s="291" t="s">
        <v>613</v>
      </c>
      <c r="K14" s="291" t="s">
        <v>619</v>
      </c>
      <c r="L14" s="291" t="s">
        <v>620</v>
      </c>
      <c r="M14" s="274" t="s">
        <v>1719</v>
      </c>
      <c r="N14" s="274" t="s">
        <v>244</v>
      </c>
      <c r="O14" s="284">
        <v>97.382997575757599</v>
      </c>
      <c r="P14" s="284">
        <v>25.3959740909091</v>
      </c>
      <c r="Q14" s="285">
        <v>0</v>
      </c>
      <c r="R14" s="662">
        <v>42</v>
      </c>
      <c r="S14" s="663">
        <v>186</v>
      </c>
      <c r="T14" s="287">
        <f>IF(CampList[[#This Row],[HH]]&gt;0,CampList[[#This Row],[Total]]/CampList[[#This Row],[HH]],"NA")</f>
        <v>4.4285714285714288</v>
      </c>
      <c r="U14" s="276" t="s">
        <v>465</v>
      </c>
      <c r="V14" s="276" t="s">
        <v>1013</v>
      </c>
      <c r="W14" s="276" t="s">
        <v>508</v>
      </c>
      <c r="X14" s="276" t="s">
        <v>743</v>
      </c>
      <c r="Y14" s="421">
        <v>40695</v>
      </c>
      <c r="Z14" s="288" t="s">
        <v>424</v>
      </c>
      <c r="AA14" s="275" t="s">
        <v>776</v>
      </c>
      <c r="AB14" s="290">
        <v>43008</v>
      </c>
      <c r="AC14" s="290"/>
      <c r="AD14" s="283" t="s">
        <v>1366</v>
      </c>
      <c r="AE14" s="276" t="str">
        <f ca="1">IFERROR(OFFSET(DistanceToCamp[Nearest Town],MATCH(CampList[[#This Row],[CP_Pcode]],DistanceToCamp[CP_Pcode],0)-1,0,1,1),"")</f>
        <v>Myitkyina Town</v>
      </c>
      <c r="AF14" s="292">
        <f ca="1">IFERROR(OFFSET(DistanceToCamp[distance],MATCH(CampList[[#This Row],[CP_Pcode]],DistanceToCamp[CP_Pcode],0)-1,0,1,1),"")</f>
        <v>1.1985969617964649</v>
      </c>
      <c r="AG14" s="293">
        <f ca="1">IFERROR(INT(CampList[[#This Row],[Distance]]/5)+1,"")</f>
        <v>1</v>
      </c>
      <c r="AI14" s="489"/>
      <c r="AJ14" s="489"/>
    </row>
    <row r="15" spans="2:51" s="203" customFormat="1" ht="15.75" customHeight="1" x14ac:dyDescent="0.25">
      <c r="B15" s="283" t="s">
        <v>460</v>
      </c>
      <c r="C15" s="274" t="s">
        <v>378</v>
      </c>
      <c r="D15" s="274" t="s">
        <v>479</v>
      </c>
      <c r="E15" s="274" t="s">
        <v>237</v>
      </c>
      <c r="F15" s="274" t="s">
        <v>485</v>
      </c>
      <c r="G15" s="274" t="s">
        <v>237</v>
      </c>
      <c r="H15" s="274" t="s">
        <v>489</v>
      </c>
      <c r="I15" s="291" t="s">
        <v>612</v>
      </c>
      <c r="J15" s="291" t="s">
        <v>613</v>
      </c>
      <c r="K15" s="291" t="s">
        <v>626</v>
      </c>
      <c r="L15" s="291" t="s">
        <v>627</v>
      </c>
      <c r="M15" s="274" t="s">
        <v>256</v>
      </c>
      <c r="N15" s="274" t="s">
        <v>255</v>
      </c>
      <c r="O15" s="284">
        <v>97.405202777777802</v>
      </c>
      <c r="P15" s="284">
        <v>25.3660036111111</v>
      </c>
      <c r="Q15" s="285">
        <v>0</v>
      </c>
      <c r="R15" s="653">
        <v>43</v>
      </c>
      <c r="S15" s="654">
        <v>196</v>
      </c>
      <c r="T15" s="287">
        <f>IF(CampList[[#This Row],[HH]]&gt;0,CampList[[#This Row],[Total]]/CampList[[#This Row],[HH]],"NA")</f>
        <v>4.558139534883721</v>
      </c>
      <c r="U15" s="276" t="s">
        <v>465</v>
      </c>
      <c r="V15" s="276" t="s">
        <v>1013</v>
      </c>
      <c r="W15" s="276" t="s">
        <v>508</v>
      </c>
      <c r="X15" s="276" t="s">
        <v>743</v>
      </c>
      <c r="Y15" s="421">
        <v>40909</v>
      </c>
      <c r="Z15" s="288" t="s">
        <v>424</v>
      </c>
      <c r="AA15" s="308" t="s">
        <v>776</v>
      </c>
      <c r="AB15" s="290">
        <v>43008</v>
      </c>
      <c r="AC15" s="290"/>
      <c r="AD15" s="283" t="s">
        <v>1720</v>
      </c>
      <c r="AE15" s="276" t="str">
        <f ca="1">IFERROR(OFFSET(DistanceToCamp[Nearest Town],MATCH(CampList[[#This Row],[CP_Pcode]],DistanceToCamp[CP_Pcode],0)-1,0,1,1),"")</f>
        <v>Myitkyina Town</v>
      </c>
      <c r="AF15" s="292">
        <f ca="1">IFERROR(OFFSET(DistanceToCamp[distance],MATCH(CampList[[#This Row],[CP_Pcode]],DistanceToCamp[CP_Pcode],0)-1,0,1,1),"")</f>
        <v>2.8164250706222882</v>
      </c>
      <c r="AG15" s="293">
        <f ca="1">IFERROR(INT(CampList[[#This Row],[Distance]]/5)+1,"")</f>
        <v>1</v>
      </c>
      <c r="AI15" s="489"/>
      <c r="AJ15" s="489"/>
    </row>
    <row r="16" spans="2:51" s="203" customFormat="1" ht="15.75" customHeight="1" x14ac:dyDescent="0.25">
      <c r="B16" s="283" t="s">
        <v>460</v>
      </c>
      <c r="C16" s="274" t="s">
        <v>378</v>
      </c>
      <c r="D16" s="274" t="s">
        <v>479</v>
      </c>
      <c r="E16" s="274" t="s">
        <v>237</v>
      </c>
      <c r="F16" s="274" t="s">
        <v>485</v>
      </c>
      <c r="G16" s="274" t="s">
        <v>237</v>
      </c>
      <c r="H16" s="274" t="s">
        <v>489</v>
      </c>
      <c r="I16" s="291" t="s">
        <v>612</v>
      </c>
      <c r="J16" s="291" t="s">
        <v>613</v>
      </c>
      <c r="K16" s="291" t="s">
        <v>628</v>
      </c>
      <c r="L16" s="291" t="s">
        <v>629</v>
      </c>
      <c r="M16" s="274" t="s">
        <v>284</v>
      </c>
      <c r="N16" s="274" t="s">
        <v>283</v>
      </c>
      <c r="O16" s="284">
        <v>97.403402307692303</v>
      </c>
      <c r="P16" s="284">
        <v>25.3510167948718</v>
      </c>
      <c r="Q16" s="285">
        <v>0</v>
      </c>
      <c r="R16" s="414">
        <v>139</v>
      </c>
      <c r="S16" s="653">
        <v>707</v>
      </c>
      <c r="T16" s="287">
        <f>IF(CampList[[#This Row],[HH]]&gt;0,CampList[[#This Row],[Total]]/CampList[[#This Row],[HH]],"NA")</f>
        <v>5.0863309352517989</v>
      </c>
      <c r="U16" s="276" t="s">
        <v>465</v>
      </c>
      <c r="V16" s="276" t="s">
        <v>1013</v>
      </c>
      <c r="W16" s="276" t="s">
        <v>508</v>
      </c>
      <c r="X16" s="276" t="s">
        <v>743</v>
      </c>
      <c r="Y16" s="421">
        <v>40695</v>
      </c>
      <c r="Z16" s="288" t="s">
        <v>424</v>
      </c>
      <c r="AA16" s="308" t="s">
        <v>776</v>
      </c>
      <c r="AB16" s="290">
        <v>43008</v>
      </c>
      <c r="AC16" s="290"/>
      <c r="AD16" s="283" t="s">
        <v>1367</v>
      </c>
      <c r="AE16" s="276" t="str">
        <f ca="1">IFERROR(OFFSET(DistanceToCamp[Nearest Town],MATCH(CampList[[#This Row],[CP_Pcode]],DistanceToCamp[CP_Pcode],0)-1,0,1,1),"")</f>
        <v>Myitkyina Town</v>
      </c>
      <c r="AF16" s="292">
        <f ca="1">IFERROR(OFFSET(DistanceToCamp[distance],MATCH(CampList[[#This Row],[CP_Pcode]],DistanceToCamp[CP_Pcode],0)-1,0,1,1),"")</f>
        <v>4.262018365878137</v>
      </c>
      <c r="AG16" s="293">
        <f ca="1">IFERROR(INT(CampList[[#This Row],[Distance]]/5)+1,"")</f>
        <v>1</v>
      </c>
      <c r="AI16" s="489"/>
      <c r="AJ16" s="489"/>
    </row>
    <row r="17" spans="2:36" s="203" customFormat="1" ht="15.75" customHeight="1" x14ac:dyDescent="0.25">
      <c r="B17" s="283" t="s">
        <v>460</v>
      </c>
      <c r="C17" s="274" t="s">
        <v>378</v>
      </c>
      <c r="D17" s="274" t="s">
        <v>479</v>
      </c>
      <c r="E17" s="274" t="s">
        <v>237</v>
      </c>
      <c r="F17" s="274" t="s">
        <v>485</v>
      </c>
      <c r="G17" s="274" t="s">
        <v>237</v>
      </c>
      <c r="H17" s="274" t="s">
        <v>489</v>
      </c>
      <c r="I17" s="291" t="s">
        <v>612</v>
      </c>
      <c r="J17" s="291" t="s">
        <v>613</v>
      </c>
      <c r="K17" s="291" t="s">
        <v>628</v>
      </c>
      <c r="L17" s="291" t="s">
        <v>629</v>
      </c>
      <c r="M17" s="274" t="s">
        <v>240</v>
      </c>
      <c r="N17" s="274" t="s">
        <v>239</v>
      </c>
      <c r="O17" s="284">
        <v>97.409035000000003</v>
      </c>
      <c r="P17" s="284">
        <v>25.362420757575801</v>
      </c>
      <c r="Q17" s="285">
        <v>0</v>
      </c>
      <c r="R17" s="654">
        <v>105</v>
      </c>
      <c r="S17" s="653">
        <v>577</v>
      </c>
      <c r="T17" s="287">
        <f>IF(CampList[[#This Row],[HH]]&gt;0,CampList[[#This Row],[Total]]/CampList[[#This Row],[HH]],"NA")</f>
        <v>5.4952380952380953</v>
      </c>
      <c r="U17" s="276" t="s">
        <v>465</v>
      </c>
      <c r="V17" s="276" t="s">
        <v>1013</v>
      </c>
      <c r="W17" s="276" t="s">
        <v>508</v>
      </c>
      <c r="X17" s="276" t="s">
        <v>743</v>
      </c>
      <c r="Y17" s="421">
        <v>40603</v>
      </c>
      <c r="Z17" s="288" t="s">
        <v>424</v>
      </c>
      <c r="AA17" s="308" t="s">
        <v>776</v>
      </c>
      <c r="AB17" s="290">
        <v>43008</v>
      </c>
      <c r="AC17" s="290"/>
      <c r="AD17" s="283" t="s">
        <v>1368</v>
      </c>
      <c r="AE17" s="276" t="str">
        <f ca="1">IFERROR(OFFSET(DistanceToCamp[Nearest Town],MATCH(CampList[[#This Row],[CP_Pcode]],DistanceToCamp[CP_Pcode],0)-1,0,1,1),"")</f>
        <v>Myitkyina Town</v>
      </c>
      <c r="AF17" s="292">
        <f ca="1">IFERROR(OFFSET(DistanceToCamp[distance],MATCH(CampList[[#This Row],[CP_Pcode]],DistanceToCamp[CP_Pcode],0)-1,0,1,1),"")</f>
        <v>3.3602711423118103</v>
      </c>
      <c r="AG17" s="293">
        <f ca="1">IFERROR(INT(CampList[[#This Row],[Distance]]/5)+1,"")</f>
        <v>1</v>
      </c>
      <c r="AI17" s="489"/>
      <c r="AJ17" s="489"/>
    </row>
    <row r="18" spans="2:36" s="203" customFormat="1" ht="15.75" customHeight="1" x14ac:dyDescent="0.25">
      <c r="B18" s="283" t="s">
        <v>460</v>
      </c>
      <c r="C18" s="274" t="s">
        <v>378</v>
      </c>
      <c r="D18" s="274" t="s">
        <v>479</v>
      </c>
      <c r="E18" s="274" t="s">
        <v>237</v>
      </c>
      <c r="F18" s="274" t="s">
        <v>485</v>
      </c>
      <c r="G18" s="274" t="s">
        <v>237</v>
      </c>
      <c r="H18" s="274" t="s">
        <v>489</v>
      </c>
      <c r="I18" s="291" t="s">
        <v>612</v>
      </c>
      <c r="J18" s="291" t="s">
        <v>613</v>
      </c>
      <c r="K18" s="298" t="s">
        <v>1130</v>
      </c>
      <c r="L18" s="298"/>
      <c r="M18" s="274" t="s">
        <v>258</v>
      </c>
      <c r="N18" s="274" t="s">
        <v>257</v>
      </c>
      <c r="O18" s="284">
        <v>97.4113064583333</v>
      </c>
      <c r="P18" s="284">
        <v>25.360463124999999</v>
      </c>
      <c r="Q18" s="285">
        <v>0</v>
      </c>
      <c r="R18" s="653">
        <v>75</v>
      </c>
      <c r="S18" s="653">
        <v>395</v>
      </c>
      <c r="T18" s="287">
        <f>IF(CampList[[#This Row],[HH]]&gt;0,CampList[[#This Row],[Total]]/CampList[[#This Row],[HH]],"NA")</f>
        <v>5.2666666666666666</v>
      </c>
      <c r="U18" s="276" t="s">
        <v>465</v>
      </c>
      <c r="V18" s="276" t="s">
        <v>1013</v>
      </c>
      <c r="W18" s="276" t="s">
        <v>508</v>
      </c>
      <c r="X18" s="276" t="s">
        <v>743</v>
      </c>
      <c r="Y18" s="421">
        <v>40756</v>
      </c>
      <c r="Z18" s="288" t="s">
        <v>424</v>
      </c>
      <c r="AA18" s="308" t="s">
        <v>776</v>
      </c>
      <c r="AB18" s="290">
        <v>43008</v>
      </c>
      <c r="AC18" s="290"/>
      <c r="AD18" s="283" t="s">
        <v>1369</v>
      </c>
      <c r="AE18" s="276" t="str">
        <f ca="1">IFERROR(OFFSET(DistanceToCamp[Nearest Town],MATCH(CampList[[#This Row],[CP_Pcode]],DistanceToCamp[CP_Pcode],0)-1,0,1,1),"")</f>
        <v>Waingmaw Town</v>
      </c>
      <c r="AF18" s="292">
        <f ca="1">IFERROR(OFFSET(DistanceToCamp[distance],MATCH(CampList[[#This Row],[CP_Pcode]],DistanceToCamp[CP_Pcode],0)-1,0,1,1),"")</f>
        <v>3.3362307375127798</v>
      </c>
      <c r="AG18" s="293">
        <f ca="1">IFERROR(INT(CampList[[#This Row],[Distance]]/5)+1,"")</f>
        <v>1</v>
      </c>
      <c r="AI18" s="489"/>
      <c r="AJ18" s="489"/>
    </row>
    <row r="19" spans="2:36" s="203" customFormat="1" ht="15.75" hidden="1" customHeight="1" x14ac:dyDescent="0.25">
      <c r="B19" s="283" t="s">
        <v>777</v>
      </c>
      <c r="C19" s="274" t="s">
        <v>378</v>
      </c>
      <c r="D19" s="274" t="s">
        <v>479</v>
      </c>
      <c r="E19" s="274" t="s">
        <v>180</v>
      </c>
      <c r="F19" s="274" t="s">
        <v>480</v>
      </c>
      <c r="G19" s="274" t="s">
        <v>481</v>
      </c>
      <c r="H19" s="274" t="s">
        <v>482</v>
      </c>
      <c r="I19" s="291" t="s">
        <v>553</v>
      </c>
      <c r="J19" s="291" t="s">
        <v>554</v>
      </c>
      <c r="K19" s="291" t="s">
        <v>553</v>
      </c>
      <c r="L19" s="291">
        <v>166773</v>
      </c>
      <c r="M19" s="274" t="s">
        <v>128</v>
      </c>
      <c r="N19" s="274" t="s">
        <v>127</v>
      </c>
      <c r="O19" s="284">
        <v>96.359549999999999</v>
      </c>
      <c r="P19" s="284">
        <v>25.658650000000002</v>
      </c>
      <c r="Q19" s="301"/>
      <c r="R19" s="376">
        <v>0</v>
      </c>
      <c r="S19" s="377">
        <v>0</v>
      </c>
      <c r="T19" s="287" t="str">
        <f>IF(CampList[[#This Row],[HH]]&gt;0,CampList[[#This Row],[Total]]/CampList[[#This Row],[HH]],"NA")</f>
        <v>NA</v>
      </c>
      <c r="U19" s="276" t="s">
        <v>465</v>
      </c>
      <c r="V19" s="294" t="s">
        <v>1013</v>
      </c>
      <c r="W19" s="276" t="s">
        <v>508</v>
      </c>
      <c r="X19" s="294"/>
      <c r="Y19" s="310"/>
      <c r="Z19" s="311"/>
      <c r="AA19" s="308"/>
      <c r="AB19" s="314"/>
      <c r="AC19" s="314"/>
      <c r="AD19" s="283" t="s">
        <v>542</v>
      </c>
      <c r="AE19" s="276" t="str">
        <f ca="1">IFERROR(OFFSET(DistanceToCamp[Nearest Town],MATCH(CampList[[#This Row],[CP_Pcode]],DistanceToCamp[CP_Pcode],0)-1,0,1,1),"")</f>
        <v/>
      </c>
      <c r="AF19" s="292" t="str">
        <f ca="1">IFERROR(OFFSET(DistanceToCamp[distance],MATCH(CampList[[#This Row],[CP_Pcode]],DistanceToCamp[CP_Pcode],0)-1,0,1,1),"")</f>
        <v/>
      </c>
      <c r="AG19" s="293" t="str">
        <f ca="1">IFERROR(INT(CampList[[#This Row],[Distance]]/5)+1,"")</f>
        <v/>
      </c>
      <c r="AI19" s="489"/>
      <c r="AJ19" s="489"/>
    </row>
    <row r="20" spans="2:36" s="203" customFormat="1" ht="15.75" customHeight="1" x14ac:dyDescent="0.25">
      <c r="B20" s="283" t="s">
        <v>460</v>
      </c>
      <c r="C20" s="274" t="s">
        <v>378</v>
      </c>
      <c r="D20" s="274" t="s">
        <v>479</v>
      </c>
      <c r="E20" s="274" t="s">
        <v>237</v>
      </c>
      <c r="F20" s="274" t="s">
        <v>485</v>
      </c>
      <c r="G20" s="274" t="s">
        <v>237</v>
      </c>
      <c r="H20" s="274" t="s">
        <v>489</v>
      </c>
      <c r="I20" s="291" t="s">
        <v>612</v>
      </c>
      <c r="J20" s="291" t="s">
        <v>613</v>
      </c>
      <c r="K20" s="274" t="s">
        <v>614</v>
      </c>
      <c r="L20" s="274"/>
      <c r="M20" s="274" t="s">
        <v>252</v>
      </c>
      <c r="N20" s="274" t="s">
        <v>251</v>
      </c>
      <c r="O20" s="320">
        <v>97.373361000000003</v>
      </c>
      <c r="P20" s="320">
        <v>25.403476999999999</v>
      </c>
      <c r="Q20" s="285">
        <v>0</v>
      </c>
      <c r="R20" s="414">
        <v>199</v>
      </c>
      <c r="S20" s="414">
        <v>1114</v>
      </c>
      <c r="T20" s="287">
        <f>IF(CampList[[#This Row],[HH]]&gt;0,CampList[[#This Row],[Total]]/CampList[[#This Row],[HH]],"NA")</f>
        <v>5.5979899497487438</v>
      </c>
      <c r="U20" s="276" t="s">
        <v>465</v>
      </c>
      <c r="V20" s="276" t="s">
        <v>1013</v>
      </c>
      <c r="W20" s="276" t="s">
        <v>508</v>
      </c>
      <c r="X20" s="276" t="s">
        <v>743</v>
      </c>
      <c r="Y20" s="421">
        <v>40725</v>
      </c>
      <c r="Z20" s="288" t="s">
        <v>424</v>
      </c>
      <c r="AA20" s="308" t="s">
        <v>776</v>
      </c>
      <c r="AB20" s="290">
        <v>43008</v>
      </c>
      <c r="AC20" s="290"/>
      <c r="AD20" s="283" t="s">
        <v>1370</v>
      </c>
      <c r="AE20" s="276" t="str">
        <f ca="1">IFERROR(OFFSET(DistanceToCamp[Nearest Town],MATCH(CampList[[#This Row],[CP_Pcode]],DistanceToCamp[CP_Pcode],0)-1,0,1,1),"")</f>
        <v>Myitkyina Town</v>
      </c>
      <c r="AF20" s="292">
        <f ca="1">IFERROR(OFFSET(DistanceToCamp[distance],MATCH(CampList[[#This Row],[CP_Pcode]],DistanceToCamp[CP_Pcode],0)-1,0,1,1),"")</f>
        <v>2.4647367211404561</v>
      </c>
      <c r="AG20" s="293">
        <f ca="1">IFERROR(INT(CampList[[#This Row],[Distance]]/5)+1,"")</f>
        <v>1</v>
      </c>
      <c r="AI20" s="489"/>
      <c r="AJ20" s="489"/>
    </row>
    <row r="21" spans="2:36" s="203" customFormat="1" ht="15.75" customHeight="1" x14ac:dyDescent="0.25">
      <c r="B21" s="299" t="s">
        <v>460</v>
      </c>
      <c r="C21" s="275" t="s">
        <v>378</v>
      </c>
      <c r="D21" s="275" t="s">
        <v>479</v>
      </c>
      <c r="E21" s="275" t="s">
        <v>237</v>
      </c>
      <c r="F21" s="275" t="s">
        <v>485</v>
      </c>
      <c r="G21" s="275" t="s">
        <v>237</v>
      </c>
      <c r="H21" s="275" t="s">
        <v>489</v>
      </c>
      <c r="I21" s="275" t="s">
        <v>612</v>
      </c>
      <c r="J21" s="300" t="s">
        <v>613</v>
      </c>
      <c r="K21" s="275" t="s">
        <v>614</v>
      </c>
      <c r="L21" s="275"/>
      <c r="M21" s="275" t="s">
        <v>254</v>
      </c>
      <c r="N21" s="275" t="s">
        <v>253</v>
      </c>
      <c r="O21" s="286">
        <v>97.379594999999995</v>
      </c>
      <c r="P21" s="286">
        <v>25.401061110000001</v>
      </c>
      <c r="Q21" s="302"/>
      <c r="R21" s="654">
        <v>88</v>
      </c>
      <c r="S21" s="654">
        <v>427</v>
      </c>
      <c r="T21" s="287">
        <f>IF(CampList[[#This Row],[HH]]&gt;0,CampList[[#This Row],[Total]]/CampList[[#This Row],[HH]],"NA")</f>
        <v>4.8522727272727275</v>
      </c>
      <c r="U21" s="224" t="s">
        <v>465</v>
      </c>
      <c r="V21" s="276" t="s">
        <v>1013</v>
      </c>
      <c r="W21" s="224" t="s">
        <v>508</v>
      </c>
      <c r="X21" s="224" t="s">
        <v>743</v>
      </c>
      <c r="Y21" s="422">
        <v>40725</v>
      </c>
      <c r="Z21" s="302" t="s">
        <v>943</v>
      </c>
      <c r="AA21" s="275" t="s">
        <v>776</v>
      </c>
      <c r="AB21" s="290">
        <v>43008</v>
      </c>
      <c r="AC21" s="290"/>
      <c r="AD21" s="304" t="s">
        <v>1315</v>
      </c>
      <c r="AE21" s="305" t="str">
        <f ca="1">IFERROR(OFFSET(DistanceToCamp[Nearest Town],MATCH(CampList[[#This Row],[CP_Pcode]],DistanceToCamp[CP_Pcode],0)-1,0,1,1),"")</f>
        <v>Myitkyina Town</v>
      </c>
      <c r="AF21" s="292">
        <f ca="1">IFERROR(OFFSET(DistanceToCamp[distance],MATCH(CampList[[#This Row],[CP_Pcode]],DistanceToCamp[CP_Pcode],0)-1,0,1,1),"")</f>
        <v>1.8563710010113432</v>
      </c>
      <c r="AG21" s="306">
        <f ca="1">IFERROR(INT(CampList[[#This Row],[Distance]]/5)+1,"")</f>
        <v>1</v>
      </c>
      <c r="AI21" s="489"/>
      <c r="AJ21" s="489"/>
    </row>
    <row r="22" spans="2:36" s="203" customFormat="1" ht="15.75" customHeight="1" x14ac:dyDescent="0.25">
      <c r="B22" s="283" t="s">
        <v>460</v>
      </c>
      <c r="C22" s="274" t="s">
        <v>378</v>
      </c>
      <c r="D22" s="274" t="s">
        <v>479</v>
      </c>
      <c r="E22" s="274" t="s">
        <v>237</v>
      </c>
      <c r="F22" s="274" t="s">
        <v>485</v>
      </c>
      <c r="G22" s="274" t="s">
        <v>237</v>
      </c>
      <c r="H22" s="274" t="s">
        <v>489</v>
      </c>
      <c r="I22" s="291" t="s">
        <v>589</v>
      </c>
      <c r="J22" s="291" t="s">
        <v>590</v>
      </c>
      <c r="K22" s="291" t="s">
        <v>589</v>
      </c>
      <c r="L22" s="291">
        <v>165698</v>
      </c>
      <c r="M22" s="274" t="s">
        <v>262</v>
      </c>
      <c r="N22" s="274" t="s">
        <v>261</v>
      </c>
      <c r="O22" s="284">
        <v>97.2843958974359</v>
      </c>
      <c r="P22" s="284">
        <v>25.374343974359</v>
      </c>
      <c r="Q22" s="285">
        <v>0</v>
      </c>
      <c r="R22" s="653">
        <v>24</v>
      </c>
      <c r="S22" s="653">
        <v>97</v>
      </c>
      <c r="T22" s="287">
        <f>IF(CampList[[#This Row],[HH]]&gt;0,CampList[[#This Row],[Total]]/CampList[[#This Row],[HH]],"NA")</f>
        <v>4.041666666666667</v>
      </c>
      <c r="U22" s="276" t="s">
        <v>465</v>
      </c>
      <c r="V22" s="276" t="s">
        <v>1013</v>
      </c>
      <c r="W22" s="276" t="s">
        <v>508</v>
      </c>
      <c r="X22" s="276" t="s">
        <v>786</v>
      </c>
      <c r="Y22" s="421">
        <v>40817</v>
      </c>
      <c r="Z22" s="288" t="s">
        <v>462</v>
      </c>
      <c r="AA22" s="308" t="s">
        <v>776</v>
      </c>
      <c r="AB22" s="290">
        <v>43008</v>
      </c>
      <c r="AC22" s="290"/>
      <c r="AD22" s="283" t="s">
        <v>1335</v>
      </c>
      <c r="AE22" s="276" t="str">
        <f ca="1">IFERROR(OFFSET(DistanceToCamp[Nearest Town],MATCH(CampList[[#This Row],[CP_Pcode]],DistanceToCamp[CP_Pcode],0)-1,0,1,1),"")</f>
        <v>Myitkyina Town</v>
      </c>
      <c r="AF22" s="292">
        <f ca="1">IFERROR(OFFSET(DistanceToCamp[distance],MATCH(CampList[[#This Row],[CP_Pcode]],DistanceToCamp[CP_Pcode],0)-1,0,1,1),"")</f>
        <v>10.744749696609457</v>
      </c>
      <c r="AG22" s="293">
        <f ca="1">IFERROR(INT(CampList[[#This Row],[Distance]]/5)+1,"")</f>
        <v>3</v>
      </c>
      <c r="AI22" s="489"/>
      <c r="AJ22" s="489"/>
    </row>
    <row r="23" spans="2:36" s="203" customFormat="1" ht="15.75" customHeight="1" x14ac:dyDescent="0.25">
      <c r="B23" s="283" t="s">
        <v>460</v>
      </c>
      <c r="C23" s="274" t="s">
        <v>378</v>
      </c>
      <c r="D23" s="274" t="s">
        <v>479</v>
      </c>
      <c r="E23" s="274" t="s">
        <v>237</v>
      </c>
      <c r="F23" s="274" t="s">
        <v>485</v>
      </c>
      <c r="G23" s="274" t="s">
        <v>237</v>
      </c>
      <c r="H23" s="274" t="s">
        <v>489</v>
      </c>
      <c r="I23" s="291" t="s">
        <v>589</v>
      </c>
      <c r="J23" s="291" t="s">
        <v>590</v>
      </c>
      <c r="K23" s="291" t="s">
        <v>589</v>
      </c>
      <c r="L23" s="291">
        <v>165698</v>
      </c>
      <c r="M23" s="274" t="s">
        <v>264</v>
      </c>
      <c r="N23" s="274" t="s">
        <v>263</v>
      </c>
      <c r="O23" s="284">
        <v>97.290952037037002</v>
      </c>
      <c r="P23" s="284">
        <v>25.371049444444399</v>
      </c>
      <c r="Q23" s="285">
        <v>476</v>
      </c>
      <c r="R23" s="414">
        <v>14</v>
      </c>
      <c r="S23" s="654">
        <v>75</v>
      </c>
      <c r="T23" s="287">
        <f>IF(CampList[[#This Row],[HH]]&gt;0,CampList[[#This Row],[Total]]/CampList[[#This Row],[HH]],"NA")</f>
        <v>5.3571428571428568</v>
      </c>
      <c r="U23" s="276" t="s">
        <v>465</v>
      </c>
      <c r="V23" s="276" t="s">
        <v>1013</v>
      </c>
      <c r="W23" s="276" t="s">
        <v>508</v>
      </c>
      <c r="X23" s="276" t="s">
        <v>786</v>
      </c>
      <c r="Y23" s="421">
        <v>40817</v>
      </c>
      <c r="Z23" s="288" t="s">
        <v>462</v>
      </c>
      <c r="AA23" s="308" t="s">
        <v>776</v>
      </c>
      <c r="AB23" s="290">
        <v>43008</v>
      </c>
      <c r="AC23" s="290"/>
      <c r="AD23" s="283" t="s">
        <v>1336</v>
      </c>
      <c r="AE23" s="276" t="str">
        <f ca="1">IFERROR(OFFSET(DistanceToCamp[Nearest Town],MATCH(CampList[[#This Row],[CP_Pcode]],DistanceToCamp[CP_Pcode],0)-1,0,1,1),"")</f>
        <v>Myitkyina Town</v>
      </c>
      <c r="AF23" s="292">
        <f ca="1">IFERROR(OFFSET(DistanceToCamp[distance],MATCH(CampList[[#This Row],[CP_Pcode]],DistanceToCamp[CP_Pcode],0)-1,0,1,1),"")</f>
        <v>10.15228229456989</v>
      </c>
      <c r="AG23" s="293">
        <f ca="1">IFERROR(INT(CampList[[#This Row],[Distance]]/5)+1,"")</f>
        <v>3</v>
      </c>
      <c r="AI23" s="489"/>
      <c r="AJ23" s="489"/>
    </row>
    <row r="24" spans="2:36" s="203" customFormat="1" ht="15.75" hidden="1" customHeight="1" x14ac:dyDescent="0.25">
      <c r="B24" s="283" t="s">
        <v>777</v>
      </c>
      <c r="C24" s="274" t="s">
        <v>378</v>
      </c>
      <c r="D24" s="274" t="s">
        <v>479</v>
      </c>
      <c r="E24" s="274" t="s">
        <v>237</v>
      </c>
      <c r="F24" s="274" t="s">
        <v>485</v>
      </c>
      <c r="G24" s="274" t="s">
        <v>237</v>
      </c>
      <c r="H24" s="274" t="s">
        <v>489</v>
      </c>
      <c r="I24" s="274" t="s">
        <v>612</v>
      </c>
      <c r="J24" s="274" t="s">
        <v>613</v>
      </c>
      <c r="K24" s="274" t="s">
        <v>624</v>
      </c>
      <c r="L24" s="274" t="s">
        <v>625</v>
      </c>
      <c r="M24" s="274" t="s">
        <v>282</v>
      </c>
      <c r="N24" s="274" t="s">
        <v>281</v>
      </c>
      <c r="O24" s="284">
        <v>97.403878500000005</v>
      </c>
      <c r="P24" s="284">
        <v>25.377038166666701</v>
      </c>
      <c r="Q24" s="285">
        <v>0</v>
      </c>
      <c r="R24" s="414">
        <v>7</v>
      </c>
      <c r="S24" s="414">
        <v>37</v>
      </c>
      <c r="T24" s="287">
        <f>IF(CampList[[#This Row],[HH]]&gt;0,CampList[[#This Row],[Total]]/CampList[[#This Row],[HH]],"NA")</f>
        <v>5.2857142857142856</v>
      </c>
      <c r="U24" s="276" t="s">
        <v>465</v>
      </c>
      <c r="V24" s="276" t="s">
        <v>1013</v>
      </c>
      <c r="W24" s="276" t="s">
        <v>508</v>
      </c>
      <c r="X24" s="276" t="s">
        <v>743</v>
      </c>
      <c r="Y24" s="421">
        <v>41000</v>
      </c>
      <c r="Z24" s="288" t="s">
        <v>462</v>
      </c>
      <c r="AA24" s="274" t="s">
        <v>776</v>
      </c>
      <c r="AB24" s="290">
        <v>42915</v>
      </c>
      <c r="AC24" s="290"/>
      <c r="AD24" s="291" t="s">
        <v>1724</v>
      </c>
      <c r="AE24" s="276" t="str">
        <f ca="1">IFERROR(OFFSET(DistanceToCamp[Nearest Town],MATCH(CampList[[#This Row],[CP_Pcode]],DistanceToCamp[CP_Pcode],0)-1,0,1,1),"")</f>
        <v>Myitkyina Town</v>
      </c>
      <c r="AF24" s="292">
        <f ca="1">IFERROR(OFFSET(DistanceToCamp[distance],MATCH(CampList[[#This Row],[CP_Pcode]],DistanceToCamp[CP_Pcode],0)-1,0,1,1),"")</f>
        <v>1.7877148351104664</v>
      </c>
      <c r="AG24" s="293">
        <f ca="1">IFERROR(INT(CampList[[#This Row],[Distance]]/5)+1,"")</f>
        <v>1</v>
      </c>
      <c r="AI24" s="489"/>
      <c r="AJ24" s="489"/>
    </row>
    <row r="25" spans="2:36" s="203" customFormat="1" ht="15.75" customHeight="1" x14ac:dyDescent="0.25">
      <c r="B25" s="361" t="s">
        <v>460</v>
      </c>
      <c r="C25" s="274" t="s">
        <v>378</v>
      </c>
      <c r="D25" s="274"/>
      <c r="E25" s="274" t="s">
        <v>237</v>
      </c>
      <c r="F25" s="274"/>
      <c r="G25" s="274" t="s">
        <v>237</v>
      </c>
      <c r="H25" s="274"/>
      <c r="I25" s="274" t="s">
        <v>612</v>
      </c>
      <c r="J25" s="300"/>
      <c r="K25" s="274" t="s">
        <v>1726</v>
      </c>
      <c r="L25" s="274"/>
      <c r="M25" s="274" t="s">
        <v>1727</v>
      </c>
      <c r="N25" s="274"/>
      <c r="O25" s="284"/>
      <c r="P25" s="284"/>
      <c r="Q25" s="302"/>
      <c r="R25" s="222">
        <v>23</v>
      </c>
      <c r="S25" s="388">
        <v>54</v>
      </c>
      <c r="T25" s="287">
        <f>IF(CampList[[#This Row],[HH]]&gt;0,CampList[[#This Row],[Total]]/CampList[[#This Row],[HH]],"NA")</f>
        <v>2.347826086956522</v>
      </c>
      <c r="U25" s="276" t="s">
        <v>465</v>
      </c>
      <c r="V25" s="276" t="s">
        <v>1013</v>
      </c>
      <c r="W25" s="276" t="s">
        <v>1574</v>
      </c>
      <c r="X25" s="276" t="s">
        <v>743</v>
      </c>
      <c r="Y25" s="288">
        <v>42929</v>
      </c>
      <c r="Z25" s="288" t="s">
        <v>1479</v>
      </c>
      <c r="AA25" s="274" t="s">
        <v>776</v>
      </c>
      <c r="AB25" s="290"/>
      <c r="AC25" s="290"/>
      <c r="AD25" s="291" t="s">
        <v>1728</v>
      </c>
      <c r="AE25" s="305" t="s">
        <v>612</v>
      </c>
      <c r="AF25" s="292" t="str">
        <f ca="1">IFERROR(OFFSET(DistanceToCamp[distance],MATCH(CampList[[#This Row],[CP_Pcode]],DistanceToCamp[CP_Pcode],0)-1,0,1,1),"")</f>
        <v/>
      </c>
      <c r="AG25" s="306" t="str">
        <f ca="1">IFERROR(INT(CampList[[#This Row],[Distance]]/5)+1,"")</f>
        <v/>
      </c>
      <c r="AI25" s="489"/>
      <c r="AJ25" s="489"/>
    </row>
    <row r="26" spans="2:36" s="203" customFormat="1" ht="15.75" customHeight="1" x14ac:dyDescent="0.25">
      <c r="B26" s="283" t="s">
        <v>460</v>
      </c>
      <c r="C26" s="274" t="s">
        <v>378</v>
      </c>
      <c r="D26" s="274" t="s">
        <v>479</v>
      </c>
      <c r="E26" s="274" t="s">
        <v>237</v>
      </c>
      <c r="F26" s="274" t="s">
        <v>485</v>
      </c>
      <c r="G26" s="274" t="s">
        <v>237</v>
      </c>
      <c r="H26" s="274" t="s">
        <v>489</v>
      </c>
      <c r="I26" s="274" t="s">
        <v>612</v>
      </c>
      <c r="J26" s="274" t="s">
        <v>613</v>
      </c>
      <c r="K26" s="274" t="s">
        <v>617</v>
      </c>
      <c r="L26" s="274" t="s">
        <v>618</v>
      </c>
      <c r="M26" s="274" t="s">
        <v>1049</v>
      </c>
      <c r="N26" s="274" t="s">
        <v>241</v>
      </c>
      <c r="O26" s="284">
        <v>97.379987</v>
      </c>
      <c r="P26" s="284">
        <v>25.423209</v>
      </c>
      <c r="Q26" s="285">
        <v>0</v>
      </c>
      <c r="R26" s="414">
        <v>54</v>
      </c>
      <c r="S26" s="414">
        <v>264</v>
      </c>
      <c r="T26" s="287">
        <f>IF(CampList[[#This Row],[HH]]&gt;0,CampList[[#This Row],[Total]]/CampList[[#This Row],[HH]],"NA")</f>
        <v>4.8888888888888893</v>
      </c>
      <c r="U26" s="276" t="s">
        <v>465</v>
      </c>
      <c r="V26" s="276" t="s">
        <v>1013</v>
      </c>
      <c r="W26" s="276" t="s">
        <v>508</v>
      </c>
      <c r="X26" s="276" t="s">
        <v>743</v>
      </c>
      <c r="Y26" s="421">
        <v>41000</v>
      </c>
      <c r="Z26" s="288" t="s">
        <v>462</v>
      </c>
      <c r="AA26" s="274" t="s">
        <v>776</v>
      </c>
      <c r="AB26" s="290">
        <v>43008</v>
      </c>
      <c r="AC26" s="290"/>
      <c r="AD26" s="291" t="s">
        <v>1333</v>
      </c>
      <c r="AE26" s="276" t="str">
        <f ca="1">IFERROR(OFFSET(DistanceToCamp[Nearest Town],MATCH(CampList[[#This Row],[CP_Pcode]],DistanceToCamp[CP_Pcode],0)-1,0,1,1),"")</f>
        <v>Myitkyina Town</v>
      </c>
      <c r="AF26" s="292">
        <f ca="1">IFERROR(OFFSET(DistanceToCamp[distance],MATCH(CampList[[#This Row],[CP_Pcode]],DistanceToCamp[CP_Pcode],0)-1,0,1,1),"")</f>
        <v>2.6190942927115026</v>
      </c>
      <c r="AG26" s="293">
        <f ca="1">IFERROR(INT(CampList[[#This Row],[Distance]]/5)+1,"")</f>
        <v>1</v>
      </c>
      <c r="AI26" s="489"/>
      <c r="AJ26" s="489"/>
    </row>
    <row r="27" spans="2:36" s="203" customFormat="1" ht="15.75" hidden="1" customHeight="1" x14ac:dyDescent="0.25">
      <c r="B27" s="283" t="s">
        <v>1767</v>
      </c>
      <c r="C27" s="274" t="s">
        <v>378</v>
      </c>
      <c r="D27" s="274"/>
      <c r="E27" s="274" t="s">
        <v>237</v>
      </c>
      <c r="F27" s="274"/>
      <c r="G27" s="274" t="s">
        <v>237</v>
      </c>
      <c r="H27" s="274"/>
      <c r="I27" s="274" t="s">
        <v>612</v>
      </c>
      <c r="J27" s="300"/>
      <c r="K27" s="274" t="s">
        <v>1745</v>
      </c>
      <c r="L27" s="274"/>
      <c r="M27" s="274" t="s">
        <v>1746</v>
      </c>
      <c r="N27" s="274"/>
      <c r="O27" s="284"/>
      <c r="P27" s="284"/>
      <c r="Q27" s="302"/>
      <c r="R27" s="222">
        <v>25</v>
      </c>
      <c r="S27" s="388">
        <v>69</v>
      </c>
      <c r="T27" s="287">
        <f>IF(CampList[[#This Row],[HH]]&gt;0,CampList[[#This Row],[Total]]/CampList[[#This Row],[HH]],"NA")</f>
        <v>2.76</v>
      </c>
      <c r="U27" s="276" t="s">
        <v>465</v>
      </c>
      <c r="V27" s="276" t="s">
        <v>1013</v>
      </c>
      <c r="W27" s="276" t="s">
        <v>1574</v>
      </c>
      <c r="X27" s="276" t="s">
        <v>743</v>
      </c>
      <c r="Y27" s="421">
        <v>42963</v>
      </c>
      <c r="Z27" s="288" t="s">
        <v>1479</v>
      </c>
      <c r="AA27" s="274" t="s">
        <v>776</v>
      </c>
      <c r="AB27" s="290" t="s">
        <v>1736</v>
      </c>
      <c r="AC27" s="290"/>
      <c r="AD27" s="291" t="s">
        <v>1747</v>
      </c>
      <c r="AE27" s="305" t="s">
        <v>612</v>
      </c>
      <c r="AF27" s="292" t="str">
        <f ca="1">IFERROR(OFFSET(DistanceToCamp[distance],MATCH(CampList[[#This Row],[CP_Pcode]],DistanceToCamp[CP_Pcode],0)-1,0,1,1),"")</f>
        <v/>
      </c>
      <c r="AG27" s="306" t="str">
        <f ca="1">IFERROR(INT(CampList[[#This Row],[Distance]]/5)+1,"")</f>
        <v/>
      </c>
      <c r="AI27" s="489"/>
      <c r="AJ27" s="489"/>
    </row>
    <row r="28" spans="2:36" s="203" customFormat="1" ht="15.75" customHeight="1" x14ac:dyDescent="0.25">
      <c r="B28" s="299" t="s">
        <v>460</v>
      </c>
      <c r="C28" s="275" t="s">
        <v>378</v>
      </c>
      <c r="D28" s="275" t="s">
        <v>479</v>
      </c>
      <c r="E28" s="275" t="s">
        <v>237</v>
      </c>
      <c r="F28" s="275" t="s">
        <v>485</v>
      </c>
      <c r="G28" s="275" t="s">
        <v>237</v>
      </c>
      <c r="H28" s="275" t="s">
        <v>489</v>
      </c>
      <c r="I28" s="275" t="s">
        <v>610</v>
      </c>
      <c r="J28" s="300" t="s">
        <v>611</v>
      </c>
      <c r="K28" s="275" t="s">
        <v>610</v>
      </c>
      <c r="L28" s="275">
        <v>165695</v>
      </c>
      <c r="M28" s="275" t="s">
        <v>270</v>
      </c>
      <c r="N28" s="275" t="s">
        <v>269</v>
      </c>
      <c r="O28" s="286">
        <v>97.359320179999997</v>
      </c>
      <c r="P28" s="286">
        <v>25.410569299999999</v>
      </c>
      <c r="Q28" s="302"/>
      <c r="R28" s="414">
        <v>63</v>
      </c>
      <c r="S28" s="414">
        <v>310</v>
      </c>
      <c r="T28" s="287">
        <f>IF(CampList[[#This Row],[HH]]&gt;0,CampList[[#This Row],[Total]]/CampList[[#This Row],[HH]],"NA")</f>
        <v>4.9206349206349209</v>
      </c>
      <c r="U28" s="224" t="s">
        <v>465</v>
      </c>
      <c r="V28" s="276" t="s">
        <v>1013</v>
      </c>
      <c r="W28" s="224" t="s">
        <v>508</v>
      </c>
      <c r="X28" s="224" t="s">
        <v>743</v>
      </c>
      <c r="Y28" s="422">
        <v>40909</v>
      </c>
      <c r="Z28" s="302" t="s">
        <v>943</v>
      </c>
      <c r="AA28" s="275" t="s">
        <v>776</v>
      </c>
      <c r="AB28" s="290">
        <v>43008</v>
      </c>
      <c r="AC28" s="290"/>
      <c r="AD28" s="304" t="s">
        <v>1316</v>
      </c>
      <c r="AE28" s="305" t="str">
        <f ca="1">IFERROR(OFFSET(DistanceToCamp[Nearest Town],MATCH(CampList[[#This Row],[CP_Pcode]],DistanceToCamp[CP_Pcode],0)-1,0,1,1),"")</f>
        <v>Myitkyina Town</v>
      </c>
      <c r="AF28" s="292">
        <f ca="1">IFERROR(OFFSET(DistanceToCamp[distance],MATCH(CampList[[#This Row],[CP_Pcode]],DistanceToCamp[CP_Pcode],0)-1,0,1,1),"")</f>
        <v>4.037940696665812</v>
      </c>
      <c r="AG28" s="306">
        <f ca="1">IFERROR(INT(CampList[[#This Row],[Distance]]/5)+1,"")</f>
        <v>1</v>
      </c>
      <c r="AI28" s="489">
        <v>32</v>
      </c>
      <c r="AJ28" s="489">
        <v>83</v>
      </c>
    </row>
    <row r="29" spans="2:36" s="203" customFormat="1" ht="15.75" customHeight="1" x14ac:dyDescent="0.25">
      <c r="B29" s="308" t="s">
        <v>460</v>
      </c>
      <c r="C29" s="274" t="s">
        <v>378</v>
      </c>
      <c r="D29" s="274" t="s">
        <v>479</v>
      </c>
      <c r="E29" s="274" t="s">
        <v>237</v>
      </c>
      <c r="F29" s="274" t="s">
        <v>485</v>
      </c>
      <c r="G29" s="274" t="s">
        <v>309</v>
      </c>
      <c r="H29" s="274" t="s">
        <v>486</v>
      </c>
      <c r="I29" s="274" t="s">
        <v>636</v>
      </c>
      <c r="J29" s="274" t="s">
        <v>637</v>
      </c>
      <c r="K29" s="274" t="s">
        <v>657</v>
      </c>
      <c r="L29" s="274" t="s">
        <v>658</v>
      </c>
      <c r="M29" s="274" t="s">
        <v>340</v>
      </c>
      <c r="N29" s="274" t="s">
        <v>339</v>
      </c>
      <c r="O29" s="284">
        <v>97.438432380952406</v>
      </c>
      <c r="P29" s="284">
        <v>25.351724999999998</v>
      </c>
      <c r="Q29" s="285">
        <v>0</v>
      </c>
      <c r="R29" s="654">
        <v>64</v>
      </c>
      <c r="S29" s="414">
        <v>323</v>
      </c>
      <c r="T29" s="287">
        <f>IF(CampList[[#This Row],[HH]]&gt;0,CampList[[#This Row],[Total]]/CampList[[#This Row],[HH]],"NA")</f>
        <v>5.046875</v>
      </c>
      <c r="U29" s="276" t="s">
        <v>465</v>
      </c>
      <c r="V29" s="276" t="s">
        <v>1013</v>
      </c>
      <c r="W29" s="276" t="s">
        <v>508</v>
      </c>
      <c r="X29" s="276" t="s">
        <v>743</v>
      </c>
      <c r="Y29" s="421">
        <v>40695</v>
      </c>
      <c r="Z29" s="288" t="s">
        <v>424</v>
      </c>
      <c r="AA29" s="274" t="s">
        <v>776</v>
      </c>
      <c r="AB29" s="290">
        <v>43008</v>
      </c>
      <c r="AC29" s="290"/>
      <c r="AD29" s="291" t="s">
        <v>1371</v>
      </c>
      <c r="AE29" s="276" t="str">
        <f ca="1">IFERROR(OFFSET(DistanceToCamp[Nearest Town],MATCH(CampList[[#This Row],[CP_Pcode]],DistanceToCamp[CP_Pcode],0)-1,0,1,1),"")</f>
        <v>Waingmaw Town</v>
      </c>
      <c r="AF29" s="292">
        <f ca="1">IFERROR(OFFSET(DistanceToCamp[distance],MATCH(CampList[[#This Row],[CP_Pcode]],DistanceToCamp[CP_Pcode],0)-1,0,1,1),"")</f>
        <v>0.4474205416025816</v>
      </c>
      <c r="AG29" s="293">
        <f ca="1">IFERROR(INT(CampList[[#This Row],[Distance]]/5)+1,"")</f>
        <v>1</v>
      </c>
      <c r="AI29" s="489"/>
      <c r="AJ29" s="489"/>
    </row>
    <row r="30" spans="2:36" s="203" customFormat="1" ht="15.75" customHeight="1" x14ac:dyDescent="0.25">
      <c r="B30" s="308" t="s">
        <v>460</v>
      </c>
      <c r="C30" s="274" t="s">
        <v>378</v>
      </c>
      <c r="D30" s="274" t="s">
        <v>479</v>
      </c>
      <c r="E30" s="274" t="s">
        <v>237</v>
      </c>
      <c r="F30" s="274" t="s">
        <v>485</v>
      </c>
      <c r="G30" s="274" t="s">
        <v>309</v>
      </c>
      <c r="H30" s="274" t="s">
        <v>486</v>
      </c>
      <c r="I30" s="274" t="s">
        <v>636</v>
      </c>
      <c r="J30" s="274" t="s">
        <v>637</v>
      </c>
      <c r="K30" s="274" t="s">
        <v>638</v>
      </c>
      <c r="L30" s="274" t="s">
        <v>639</v>
      </c>
      <c r="M30" s="274" t="s">
        <v>349</v>
      </c>
      <c r="N30" s="274" t="s">
        <v>348</v>
      </c>
      <c r="O30" s="284">
        <v>97.432495000000003</v>
      </c>
      <c r="P30" s="284">
        <v>25.350809000000002</v>
      </c>
      <c r="Q30" s="285">
        <v>0</v>
      </c>
      <c r="R30" s="414">
        <v>90</v>
      </c>
      <c r="S30" s="654">
        <v>491</v>
      </c>
      <c r="T30" s="287">
        <f>IF(CampList[[#This Row],[HH]]&gt;0,CampList[[#This Row],[Total]]/CampList[[#This Row],[HH]],"NA")</f>
        <v>5.4555555555555557</v>
      </c>
      <c r="U30" s="276" t="s">
        <v>465</v>
      </c>
      <c r="V30" s="276" t="s">
        <v>1013</v>
      </c>
      <c r="W30" s="276" t="s">
        <v>508</v>
      </c>
      <c r="X30" s="276" t="s">
        <v>743</v>
      </c>
      <c r="Y30" s="421">
        <v>40940</v>
      </c>
      <c r="Z30" s="288" t="s">
        <v>462</v>
      </c>
      <c r="AA30" s="274" t="s">
        <v>776</v>
      </c>
      <c r="AB30" s="290">
        <v>43008</v>
      </c>
      <c r="AC30" s="290"/>
      <c r="AD30" s="291" t="s">
        <v>1337</v>
      </c>
      <c r="AE30" s="276" t="str">
        <f ca="1">IFERROR(OFFSET(DistanceToCamp[Nearest Town],MATCH(CampList[[#This Row],[CP_Pcode]],DistanceToCamp[CP_Pcode],0)-1,0,1,1),"")</f>
        <v>Waingmaw Town</v>
      </c>
      <c r="AF30" s="292">
        <f ca="1">IFERROR(OFFSET(DistanceToCamp[distance],MATCH(CampList[[#This Row],[CP_Pcode]],DistanceToCamp[CP_Pcode],0)-1,0,1,1),"")</f>
        <v>1.0367202051285227</v>
      </c>
      <c r="AG30" s="293">
        <f ca="1">IFERROR(INT(CampList[[#This Row],[Distance]]/5)+1,"")</f>
        <v>1</v>
      </c>
      <c r="AI30" s="489"/>
      <c r="AJ30" s="489"/>
    </row>
    <row r="31" spans="2:36" s="203" customFormat="1" ht="15.75" customHeight="1" x14ac:dyDescent="0.25">
      <c r="B31" s="308" t="s">
        <v>460</v>
      </c>
      <c r="C31" s="274" t="s">
        <v>378</v>
      </c>
      <c r="D31" s="274" t="s">
        <v>479</v>
      </c>
      <c r="E31" s="274" t="s">
        <v>237</v>
      </c>
      <c r="F31" s="274" t="s">
        <v>485</v>
      </c>
      <c r="G31" s="274" t="s">
        <v>309</v>
      </c>
      <c r="H31" s="274" t="s">
        <v>486</v>
      </c>
      <c r="I31" s="274" t="s">
        <v>660</v>
      </c>
      <c r="J31" s="274" t="s">
        <v>661</v>
      </c>
      <c r="K31" s="274" t="s">
        <v>662</v>
      </c>
      <c r="L31" s="274">
        <v>165730</v>
      </c>
      <c r="M31" s="274" t="s">
        <v>319</v>
      </c>
      <c r="N31" s="274" t="s">
        <v>318</v>
      </c>
      <c r="O31" s="284">
        <v>97.451965000000001</v>
      </c>
      <c r="P31" s="284">
        <v>25.356632000000001</v>
      </c>
      <c r="Q31" s="285">
        <v>0</v>
      </c>
      <c r="R31" s="414">
        <v>30</v>
      </c>
      <c r="S31" s="414">
        <v>165</v>
      </c>
      <c r="T31" s="287">
        <f>IF(CampList[[#This Row],[HH]]&gt;0,CampList[[#This Row],[Total]]/CampList[[#This Row],[HH]],"NA")</f>
        <v>5.5</v>
      </c>
      <c r="U31" s="276" t="s">
        <v>465</v>
      </c>
      <c r="V31" s="276" t="s">
        <v>1013</v>
      </c>
      <c r="W31" s="276" t="s">
        <v>508</v>
      </c>
      <c r="X31" s="276" t="s">
        <v>743</v>
      </c>
      <c r="Y31" s="421">
        <v>41030</v>
      </c>
      <c r="Z31" s="288" t="s">
        <v>424</v>
      </c>
      <c r="AA31" s="308" t="s">
        <v>776</v>
      </c>
      <c r="AB31" s="290">
        <v>43008</v>
      </c>
      <c r="AC31" s="290"/>
      <c r="AD31" s="283" t="s">
        <v>1372</v>
      </c>
      <c r="AE31" s="276" t="str">
        <f ca="1">IFERROR(OFFSET(DistanceToCamp[Nearest Town],MATCH(CampList[[#This Row],[CP_Pcode]],DistanceToCamp[CP_Pcode],0)-1,0,1,1),"")</f>
        <v>Waingmaw Town</v>
      </c>
      <c r="AF31" s="292">
        <f ca="1">IFERROR(OFFSET(DistanceToCamp[distance],MATCH(CampList[[#This Row],[CP_Pcode]],DistanceToCamp[CP_Pcode],0)-1,0,1,1),"")</f>
        <v>1.1134935940025397</v>
      </c>
      <c r="AG31" s="293">
        <f ca="1">IFERROR(INT(CampList[[#This Row],[Distance]]/5)+1,"")</f>
        <v>1</v>
      </c>
      <c r="AI31" s="489"/>
      <c r="AJ31" s="489"/>
    </row>
    <row r="32" spans="2:36" s="203" customFormat="1" ht="15.75" customHeight="1" x14ac:dyDescent="0.25">
      <c r="B32" s="308" t="s">
        <v>460</v>
      </c>
      <c r="C32" s="274" t="s">
        <v>378</v>
      </c>
      <c r="D32" s="274" t="s">
        <v>479</v>
      </c>
      <c r="E32" s="274" t="s">
        <v>237</v>
      </c>
      <c r="F32" s="274" t="s">
        <v>485</v>
      </c>
      <c r="G32" s="274" t="s">
        <v>309</v>
      </c>
      <c r="H32" s="274" t="s">
        <v>486</v>
      </c>
      <c r="I32" s="274" t="s">
        <v>565</v>
      </c>
      <c r="J32" s="274" t="s">
        <v>566</v>
      </c>
      <c r="K32" s="274" t="s">
        <v>565</v>
      </c>
      <c r="L32" s="274">
        <v>165735</v>
      </c>
      <c r="M32" s="274" t="s">
        <v>312</v>
      </c>
      <c r="N32" s="274" t="s">
        <v>311</v>
      </c>
      <c r="O32" s="284">
        <v>97.404195925926004</v>
      </c>
      <c r="P32" s="284">
        <v>25.321710740740698</v>
      </c>
      <c r="Q32" s="285">
        <v>0</v>
      </c>
      <c r="R32" s="414">
        <v>103</v>
      </c>
      <c r="S32" s="414">
        <v>503</v>
      </c>
      <c r="T32" s="287">
        <f>IF(CampList[[#This Row],[HH]]&gt;0,CampList[[#This Row],[Total]]/CampList[[#This Row],[HH]],"NA")</f>
        <v>4.883495145631068</v>
      </c>
      <c r="U32" s="276" t="s">
        <v>465</v>
      </c>
      <c r="V32" s="276" t="s">
        <v>1013</v>
      </c>
      <c r="W32" s="276" t="s">
        <v>508</v>
      </c>
      <c r="X32" s="276" t="s">
        <v>786</v>
      </c>
      <c r="Y32" s="421">
        <v>40695</v>
      </c>
      <c r="Z32" s="288" t="s">
        <v>462</v>
      </c>
      <c r="AA32" s="308" t="s">
        <v>776</v>
      </c>
      <c r="AB32" s="290">
        <v>43008</v>
      </c>
      <c r="AC32" s="290"/>
      <c r="AD32" s="283" t="s">
        <v>1338</v>
      </c>
      <c r="AE32" s="276" t="str">
        <f ca="1">IFERROR(OFFSET(DistanceToCamp[Nearest Town],MATCH(CampList[[#This Row],[CP_Pcode]],DistanceToCamp[CP_Pcode],0)-1,0,1,1),"")</f>
        <v>Waingmaw Town</v>
      </c>
      <c r="AF32" s="292">
        <f ca="1">IFERROR(OFFSET(DistanceToCamp[distance],MATCH(CampList[[#This Row],[CP_Pcode]],DistanceToCamp[CP_Pcode],0)-1,0,1,1),"")</f>
        <v>5.0655036329811631</v>
      </c>
      <c r="AG32" s="293">
        <f ca="1">IFERROR(INT(CampList[[#This Row],[Distance]]/5)+1,"")</f>
        <v>2</v>
      </c>
      <c r="AI32" s="489"/>
      <c r="AJ32" s="489"/>
    </row>
    <row r="33" spans="2:36" s="203" customFormat="1" ht="15.75" customHeight="1" x14ac:dyDescent="0.25">
      <c r="B33" s="313" t="s">
        <v>460</v>
      </c>
      <c r="C33" s="275" t="s">
        <v>378</v>
      </c>
      <c r="D33" s="275" t="s">
        <v>479</v>
      </c>
      <c r="E33" s="275" t="s">
        <v>237</v>
      </c>
      <c r="F33" s="275" t="s">
        <v>485</v>
      </c>
      <c r="G33" s="275" t="s">
        <v>309</v>
      </c>
      <c r="H33" s="275" t="s">
        <v>486</v>
      </c>
      <c r="I33" s="275" t="s">
        <v>634</v>
      </c>
      <c r="J33" s="300" t="s">
        <v>635</v>
      </c>
      <c r="K33" s="275" t="s">
        <v>634</v>
      </c>
      <c r="L33" s="275">
        <v>165740</v>
      </c>
      <c r="M33" s="275" t="s">
        <v>329</v>
      </c>
      <c r="N33" s="275" t="s">
        <v>328</v>
      </c>
      <c r="O33" s="286">
        <v>97.437782499999997</v>
      </c>
      <c r="P33" s="286">
        <v>25.415667500000001</v>
      </c>
      <c r="Q33" s="302"/>
      <c r="R33" s="654">
        <v>282</v>
      </c>
      <c r="S33" s="654">
        <v>1478</v>
      </c>
      <c r="T33" s="287">
        <f>IF(CampList[[#This Row],[HH]]&gt;0,CampList[[#This Row],[Total]]/CampList[[#This Row],[HH]],"NA")</f>
        <v>5.2411347517730498</v>
      </c>
      <c r="U33" s="224" t="s">
        <v>465</v>
      </c>
      <c r="V33" s="276" t="s">
        <v>1013</v>
      </c>
      <c r="W33" s="224" t="s">
        <v>508</v>
      </c>
      <c r="X33" s="224" t="s">
        <v>743</v>
      </c>
      <c r="Y33" s="422">
        <v>41426</v>
      </c>
      <c r="Z33" s="302" t="s">
        <v>943</v>
      </c>
      <c r="AA33" s="275" t="s">
        <v>776</v>
      </c>
      <c r="AB33" s="290">
        <v>43008</v>
      </c>
      <c r="AC33" s="290"/>
      <c r="AD33" s="304" t="s">
        <v>1317</v>
      </c>
      <c r="AE33" s="305" t="str">
        <f ca="1">IFERROR(OFFSET(DistanceToCamp[Nearest Town],MATCH(CampList[[#This Row],[CP_Pcode]],DistanceToCamp[CP_Pcode],0)-1,0,1,1),"")</f>
        <v>Myitkyina Town</v>
      </c>
      <c r="AF33" s="292">
        <f ca="1">IFERROR(OFFSET(DistanceToCamp[distance],MATCH(CampList[[#This Row],[CP_Pcode]],DistanceToCamp[CP_Pcode],0)-1,0,1,1),"")</f>
        <v>5.7019834469756479</v>
      </c>
      <c r="AG33" s="306">
        <f ca="1">IFERROR(INT(CampList[[#This Row],[Distance]]/5)+1,"")</f>
        <v>2</v>
      </c>
      <c r="AI33" s="489"/>
      <c r="AJ33" s="489"/>
    </row>
    <row r="34" spans="2:36" s="203" customFormat="1" ht="15.75" customHeight="1" x14ac:dyDescent="0.25">
      <c r="B34" s="308" t="s">
        <v>460</v>
      </c>
      <c r="C34" s="274" t="s">
        <v>378</v>
      </c>
      <c r="D34" s="274" t="s">
        <v>479</v>
      </c>
      <c r="E34" s="274" t="s">
        <v>237</v>
      </c>
      <c r="F34" s="274" t="s">
        <v>485</v>
      </c>
      <c r="G34" s="274" t="s">
        <v>309</v>
      </c>
      <c r="H34" s="274" t="s">
        <v>486</v>
      </c>
      <c r="I34" s="274" t="s">
        <v>636</v>
      </c>
      <c r="J34" s="274" t="s">
        <v>637</v>
      </c>
      <c r="K34" s="274" t="s">
        <v>655</v>
      </c>
      <c r="L34" s="274" t="s">
        <v>656</v>
      </c>
      <c r="M34" s="274" t="s">
        <v>337</v>
      </c>
      <c r="N34" s="274" t="s">
        <v>336</v>
      </c>
      <c r="O34" s="284">
        <v>97.437472666666693</v>
      </c>
      <c r="P34" s="284">
        <v>25.345918166666699</v>
      </c>
      <c r="Q34" s="285"/>
      <c r="R34" s="414">
        <v>29</v>
      </c>
      <c r="S34" s="414">
        <v>160</v>
      </c>
      <c r="T34" s="287">
        <f>IF(CampList[[#This Row],[HH]]&gt;0,CampList[[#This Row],[Total]]/CampList[[#This Row],[HH]],"NA")</f>
        <v>5.5172413793103452</v>
      </c>
      <c r="U34" s="276" t="s">
        <v>465</v>
      </c>
      <c r="V34" s="276" t="s">
        <v>1013</v>
      </c>
      <c r="W34" s="276" t="s">
        <v>508</v>
      </c>
      <c r="X34" s="276" t="s">
        <v>743</v>
      </c>
      <c r="Y34" s="421">
        <v>40695</v>
      </c>
      <c r="Z34" s="288" t="s">
        <v>462</v>
      </c>
      <c r="AA34" s="274" t="s">
        <v>776</v>
      </c>
      <c r="AB34" s="290">
        <v>43008</v>
      </c>
      <c r="AC34" s="290"/>
      <c r="AD34" s="291" t="s">
        <v>1336</v>
      </c>
      <c r="AE34" s="276" t="str">
        <f ca="1">IFERROR(OFFSET(DistanceToCamp[Nearest Town],MATCH(CampList[[#This Row],[CP_Pcode]],DistanceToCamp[CP_Pcode],0)-1,0,1,1),"")</f>
        <v>Waingmaw Town</v>
      </c>
      <c r="AF34" s="292">
        <f ca="1">IFERROR(OFFSET(DistanceToCamp[distance],MATCH(CampList[[#This Row],[CP_Pcode]],DistanceToCamp[CP_Pcode],0)-1,0,1,1),"")</f>
        <v>0.77827912736780092</v>
      </c>
      <c r="AG34" s="293">
        <f ca="1">IFERROR(INT(CampList[[#This Row],[Distance]]/5)+1,"")</f>
        <v>1</v>
      </c>
      <c r="AI34" s="489"/>
      <c r="AJ34" s="489"/>
    </row>
    <row r="35" spans="2:36" s="203" customFormat="1" ht="15.75" customHeight="1" x14ac:dyDescent="0.25">
      <c r="B35" s="308" t="s">
        <v>460</v>
      </c>
      <c r="C35" s="274" t="s">
        <v>378</v>
      </c>
      <c r="D35" s="274" t="s">
        <v>479</v>
      </c>
      <c r="E35" s="274" t="s">
        <v>237</v>
      </c>
      <c r="F35" s="274" t="s">
        <v>485</v>
      </c>
      <c r="G35" s="274" t="s">
        <v>309</v>
      </c>
      <c r="H35" s="274" t="s">
        <v>486</v>
      </c>
      <c r="I35" s="274" t="s">
        <v>634</v>
      </c>
      <c r="J35" s="274" t="s">
        <v>635</v>
      </c>
      <c r="K35" s="274" t="s">
        <v>634</v>
      </c>
      <c r="L35" s="274">
        <v>165740</v>
      </c>
      <c r="M35" s="274" t="s">
        <v>327</v>
      </c>
      <c r="N35" s="274" t="s">
        <v>326</v>
      </c>
      <c r="O35" s="284">
        <v>97.433419259259296</v>
      </c>
      <c r="P35" s="284">
        <v>25.424529444444399</v>
      </c>
      <c r="Q35" s="285">
        <v>0</v>
      </c>
      <c r="R35" s="653">
        <v>333</v>
      </c>
      <c r="S35" s="653">
        <v>1800</v>
      </c>
      <c r="T35" s="287">
        <f>IF(CampList[[#This Row],[HH]]&gt;0,CampList[[#This Row],[Total]]/CampList[[#This Row],[HH]],"NA")</f>
        <v>5.4054054054054053</v>
      </c>
      <c r="U35" s="276" t="s">
        <v>465</v>
      </c>
      <c r="V35" s="276" t="s">
        <v>1013</v>
      </c>
      <c r="W35" s="276" t="s">
        <v>508</v>
      </c>
      <c r="X35" s="276" t="s">
        <v>786</v>
      </c>
      <c r="Y35" s="421">
        <v>41456</v>
      </c>
      <c r="Z35" s="288" t="s">
        <v>462</v>
      </c>
      <c r="AA35" s="308" t="s">
        <v>776</v>
      </c>
      <c r="AB35" s="290">
        <v>43008</v>
      </c>
      <c r="AC35" s="290"/>
      <c r="AD35" s="283" t="s">
        <v>1339</v>
      </c>
      <c r="AE35" s="276" t="str">
        <f ca="1">IFERROR(OFFSET(DistanceToCamp[Nearest Town],MATCH(CampList[[#This Row],[CP_Pcode]],DistanceToCamp[CP_Pcode],0)-1,0,1,1),"")</f>
        <v>Myitkyina Town</v>
      </c>
      <c r="AF35" s="292">
        <f ca="1">IFERROR(OFFSET(DistanceToCamp[distance],MATCH(CampList[[#This Row],[CP_Pcode]],DistanceToCamp[CP_Pcode],0)-1,0,1,1),"")</f>
        <v>5.9727739497559158</v>
      </c>
      <c r="AG35" s="293">
        <f ca="1">IFERROR(INT(CampList[[#This Row],[Distance]]/5)+1,"")</f>
        <v>2</v>
      </c>
      <c r="AI35" s="489"/>
      <c r="AJ35" s="489"/>
    </row>
    <row r="36" spans="2:36" s="203" customFormat="1" ht="15.75" customHeight="1" x14ac:dyDescent="0.25">
      <c r="B36" s="308" t="s">
        <v>460</v>
      </c>
      <c r="C36" s="274" t="s">
        <v>378</v>
      </c>
      <c r="D36" s="274" t="s">
        <v>479</v>
      </c>
      <c r="E36" s="274" t="s">
        <v>237</v>
      </c>
      <c r="F36" s="274" t="s">
        <v>485</v>
      </c>
      <c r="G36" s="274" t="s">
        <v>309</v>
      </c>
      <c r="H36" s="274" t="s">
        <v>486</v>
      </c>
      <c r="I36" s="274" t="s">
        <v>636</v>
      </c>
      <c r="J36" s="274" t="s">
        <v>637</v>
      </c>
      <c r="K36" s="274" t="s">
        <v>657</v>
      </c>
      <c r="L36" s="274" t="s">
        <v>658</v>
      </c>
      <c r="M36" s="274" t="s">
        <v>317</v>
      </c>
      <c r="N36" s="274" t="s">
        <v>316</v>
      </c>
      <c r="O36" s="284">
        <v>97.441166388888902</v>
      </c>
      <c r="P36" s="284">
        <v>25.3540362037037</v>
      </c>
      <c r="Q36" s="285">
        <v>0</v>
      </c>
      <c r="R36" s="414">
        <v>115</v>
      </c>
      <c r="S36" s="414">
        <v>460</v>
      </c>
      <c r="T36" s="287">
        <f>IF(CampList[[#This Row],[HH]]&gt;0,CampList[[#This Row],[Total]]/CampList[[#This Row],[HH]],"NA")</f>
        <v>4</v>
      </c>
      <c r="U36" s="276" t="s">
        <v>465</v>
      </c>
      <c r="V36" s="276" t="s">
        <v>1013</v>
      </c>
      <c r="W36" s="276" t="s">
        <v>508</v>
      </c>
      <c r="X36" s="276" t="s">
        <v>743</v>
      </c>
      <c r="Y36" s="421">
        <v>40725</v>
      </c>
      <c r="Z36" s="288" t="s">
        <v>462</v>
      </c>
      <c r="AA36" s="274" t="s">
        <v>776</v>
      </c>
      <c r="AB36" s="290">
        <v>43008</v>
      </c>
      <c r="AC36" s="290"/>
      <c r="AD36" s="291" t="s">
        <v>1340</v>
      </c>
      <c r="AE36" s="276" t="str">
        <f ca="1">IFERROR(OFFSET(DistanceToCamp[Nearest Town],MATCH(CampList[[#This Row],[CP_Pcode]],DistanceToCamp[CP_Pcode],0)-1,0,1,1),"")</f>
        <v>Waingmaw Town</v>
      </c>
      <c r="AF36" s="292">
        <f ca="1">IFERROR(OFFSET(DistanceToCamp[distance],MATCH(CampList[[#This Row],[CP_Pcode]],DistanceToCamp[CP_Pcode],0)-1,0,1,1),"")</f>
        <v>0.37684287609457234</v>
      </c>
      <c r="AG36" s="293">
        <f ca="1">IFERROR(INT(CampList[[#This Row],[Distance]]/5)+1,"")</f>
        <v>1</v>
      </c>
      <c r="AI36" s="489"/>
      <c r="AJ36" s="489"/>
    </row>
    <row r="37" spans="2:36" s="203" customFormat="1" ht="15.75" customHeight="1" x14ac:dyDescent="0.25">
      <c r="B37" s="308" t="s">
        <v>460</v>
      </c>
      <c r="C37" s="274" t="s">
        <v>378</v>
      </c>
      <c r="D37" s="274" t="s">
        <v>479</v>
      </c>
      <c r="E37" s="274" t="s">
        <v>237</v>
      </c>
      <c r="F37" s="274" t="s">
        <v>485</v>
      </c>
      <c r="G37" s="274" t="s">
        <v>309</v>
      </c>
      <c r="H37" s="274" t="s">
        <v>486</v>
      </c>
      <c r="I37" s="274" t="s">
        <v>969</v>
      </c>
      <c r="J37" s="274" t="s">
        <v>1055</v>
      </c>
      <c r="K37" s="274" t="s">
        <v>607</v>
      </c>
      <c r="L37" s="274">
        <v>165745</v>
      </c>
      <c r="M37" s="274" t="s">
        <v>342</v>
      </c>
      <c r="N37" s="274" t="s">
        <v>341</v>
      </c>
      <c r="O37" s="284">
        <v>97.345039</v>
      </c>
      <c r="P37" s="284">
        <v>25.351965</v>
      </c>
      <c r="Q37" s="285"/>
      <c r="R37" s="414">
        <v>20</v>
      </c>
      <c r="S37" s="414">
        <v>86</v>
      </c>
      <c r="T37" s="287">
        <f>IF(CampList[[#This Row],[HH]]&gt;0,CampList[[#This Row],[Total]]/CampList[[#This Row],[HH]],"NA")</f>
        <v>4.3</v>
      </c>
      <c r="U37" s="276" t="s">
        <v>465</v>
      </c>
      <c r="V37" s="276" t="s">
        <v>1013</v>
      </c>
      <c r="W37" s="276" t="s">
        <v>508</v>
      </c>
      <c r="X37" s="276" t="s">
        <v>786</v>
      </c>
      <c r="Y37" s="421">
        <v>41030</v>
      </c>
      <c r="Z37" s="288" t="s">
        <v>462</v>
      </c>
      <c r="AA37" s="274" t="s">
        <v>776</v>
      </c>
      <c r="AB37" s="290">
        <v>43008</v>
      </c>
      <c r="AC37" s="290"/>
      <c r="AD37" s="291" t="s">
        <v>1341</v>
      </c>
      <c r="AE37" s="276" t="str">
        <f ca="1">IFERROR(OFFSET(DistanceToCamp[Nearest Town],MATCH(CampList[[#This Row],[CP_Pcode]],DistanceToCamp[CP_Pcode],0)-1,0,1,1),"")</f>
        <v>Myitkyina Town</v>
      </c>
      <c r="AF37" s="292">
        <f ca="1">IFERROR(OFFSET(DistanceToCamp[distance],MATCH(CampList[[#This Row],[CP_Pcode]],DistanceToCamp[CP_Pcode],0)-1,0,1,1),"")</f>
        <v>6.0275881703713861</v>
      </c>
      <c r="AG37" s="293">
        <f ca="1">IFERROR(INT(CampList[[#This Row],[Distance]]/5)+1,"")</f>
        <v>2</v>
      </c>
      <c r="AI37" s="489"/>
      <c r="AJ37" s="489"/>
    </row>
    <row r="38" spans="2:36" s="203" customFormat="1" ht="15.75" hidden="1" customHeight="1" x14ac:dyDescent="0.25">
      <c r="B38" s="283" t="s">
        <v>777</v>
      </c>
      <c r="C38" s="274" t="s">
        <v>378</v>
      </c>
      <c r="D38" s="274" t="s">
        <v>479</v>
      </c>
      <c r="E38" s="274" t="s">
        <v>180</v>
      </c>
      <c r="F38" s="274" t="s">
        <v>480</v>
      </c>
      <c r="G38" s="274" t="s">
        <v>481</v>
      </c>
      <c r="H38" s="274" t="s">
        <v>482</v>
      </c>
      <c r="I38" s="275" t="s">
        <v>1181</v>
      </c>
      <c r="J38" s="300" t="s">
        <v>1182</v>
      </c>
      <c r="K38" s="275" t="s">
        <v>1189</v>
      </c>
      <c r="L38" s="275">
        <v>166819</v>
      </c>
      <c r="M38" s="21" t="s">
        <v>1184</v>
      </c>
      <c r="N38" s="275" t="s">
        <v>1190</v>
      </c>
      <c r="O38" s="330">
        <v>96.662092000000001</v>
      </c>
      <c r="P38" s="330">
        <v>25.920006000000001</v>
      </c>
      <c r="Q38" s="302"/>
      <c r="R38" s="224"/>
      <c r="S38" s="312"/>
      <c r="T38" s="287" t="str">
        <f>IF(CampList[[#This Row],[HH]]&gt;0,CampList[[#This Row],[Total]]/CampList[[#This Row],[HH]],"NA")</f>
        <v>NA</v>
      </c>
      <c r="U38" s="224" t="s">
        <v>465</v>
      </c>
      <c r="V38" s="276" t="s">
        <v>1013</v>
      </c>
      <c r="W38" s="224" t="s">
        <v>508</v>
      </c>
      <c r="X38" s="224" t="s">
        <v>786</v>
      </c>
      <c r="Y38" s="303">
        <v>42584</v>
      </c>
      <c r="Z38" s="302"/>
      <c r="AA38" s="275" t="s">
        <v>776</v>
      </c>
      <c r="AB38" s="290">
        <v>42849</v>
      </c>
      <c r="AC38" s="290"/>
      <c r="AD38" s="304" t="s">
        <v>1265</v>
      </c>
      <c r="AE38" s="305" t="str">
        <f ca="1">IFERROR(OFFSET(DistanceToCamp[Nearest Town],MATCH(CampList[[#This Row],[CP_Pcode]],DistanceToCamp[CP_Pcode],0)-1,0,1,1),"")</f>
        <v>Hpakant Town</v>
      </c>
      <c r="AF38" s="292">
        <f ca="1">IFERROR(OFFSET(DistanceToCamp[distance],MATCH(CampList[[#This Row],[CP_Pcode]],DistanceToCamp[CP_Pcode],0)-1,0,1,1),"")</f>
        <v>0</v>
      </c>
      <c r="AG38" s="306">
        <f ca="1">IFERROR(INT(CampList[[#This Row],[Distance]]/5)+1,"")</f>
        <v>1</v>
      </c>
      <c r="AI38" s="489"/>
      <c r="AJ38" s="489"/>
    </row>
    <row r="39" spans="2:36" s="203" customFormat="1" ht="15.75" hidden="1" customHeight="1" x14ac:dyDescent="0.25">
      <c r="B39" s="283" t="s">
        <v>777</v>
      </c>
      <c r="C39" s="274" t="s">
        <v>378</v>
      </c>
      <c r="D39" s="274" t="s">
        <v>479</v>
      </c>
      <c r="E39" s="274" t="s">
        <v>180</v>
      </c>
      <c r="F39" s="274" t="s">
        <v>480</v>
      </c>
      <c r="G39" s="274" t="s">
        <v>481</v>
      </c>
      <c r="H39" s="274" t="s">
        <v>482</v>
      </c>
      <c r="I39" s="291" t="s">
        <v>553</v>
      </c>
      <c r="J39" s="291" t="s">
        <v>554</v>
      </c>
      <c r="K39" s="291" t="s">
        <v>555</v>
      </c>
      <c r="L39" s="291">
        <v>166775</v>
      </c>
      <c r="M39" s="274" t="s">
        <v>39</v>
      </c>
      <c r="N39" s="274" t="s">
        <v>38</v>
      </c>
      <c r="O39" s="284"/>
      <c r="P39" s="284"/>
      <c r="Q39" s="301"/>
      <c r="R39" s="376"/>
      <c r="S39" s="377"/>
      <c r="T39" s="287" t="str">
        <f>IF(CampList[[#This Row],[HH]]&gt;0,CampList[[#This Row],[Total]]/CampList[[#This Row],[HH]],"NA")</f>
        <v>NA</v>
      </c>
      <c r="U39" s="276" t="s">
        <v>465</v>
      </c>
      <c r="V39" s="294" t="s">
        <v>1013</v>
      </c>
      <c r="W39" s="276" t="s">
        <v>508</v>
      </c>
      <c r="X39" s="294"/>
      <c r="Y39" s="310"/>
      <c r="Z39" s="311"/>
      <c r="AA39" s="308"/>
      <c r="AB39" s="314"/>
      <c r="AC39" s="314"/>
      <c r="AD39" s="283" t="s">
        <v>542</v>
      </c>
      <c r="AE39" s="276" t="str">
        <f ca="1">IFERROR(OFFSET(DistanceToCamp[Nearest Town],MATCH(CampList[[#This Row],[CP_Pcode]],DistanceToCamp[CP_Pcode],0)-1,0,1,1),"")</f>
        <v/>
      </c>
      <c r="AF39" s="292" t="str">
        <f ca="1">IFERROR(OFFSET(DistanceToCamp[distance],MATCH(CampList[[#This Row],[CP_Pcode]],DistanceToCamp[CP_Pcode],0)-1,0,1,1),"")</f>
        <v/>
      </c>
      <c r="AG39" s="293" t="str">
        <f ca="1">IFERROR(INT(CampList[[#This Row],[Distance]]/5)+1,"")</f>
        <v/>
      </c>
      <c r="AI39" s="489"/>
      <c r="AJ39" s="489"/>
    </row>
    <row r="40" spans="2:36" s="203" customFormat="1" ht="15.75" customHeight="1" x14ac:dyDescent="0.25">
      <c r="B40" s="283" t="s">
        <v>460</v>
      </c>
      <c r="C40" s="274" t="s">
        <v>507</v>
      </c>
      <c r="D40" s="274" t="s">
        <v>490</v>
      </c>
      <c r="E40" s="274" t="s">
        <v>230</v>
      </c>
      <c r="F40" s="274" t="s">
        <v>491</v>
      </c>
      <c r="G40" s="274" t="s">
        <v>288</v>
      </c>
      <c r="H40" s="274" t="s">
        <v>503</v>
      </c>
      <c r="I40" s="274" t="s">
        <v>692</v>
      </c>
      <c r="J40" s="274" t="s">
        <v>693</v>
      </c>
      <c r="K40" s="274" t="s">
        <v>692</v>
      </c>
      <c r="L40" s="274">
        <v>208353</v>
      </c>
      <c r="M40" s="274" t="s">
        <v>289</v>
      </c>
      <c r="N40" s="274" t="s">
        <v>287</v>
      </c>
      <c r="O40" s="284">
        <v>97.669557999999995</v>
      </c>
      <c r="P40" s="284">
        <v>23.828520000000001</v>
      </c>
      <c r="Q40" s="285">
        <v>740</v>
      </c>
      <c r="R40" s="414">
        <v>66</v>
      </c>
      <c r="S40" s="654">
        <v>350</v>
      </c>
      <c r="T40" s="287">
        <f>IF(CampList[[#This Row],[HH]]&gt;0,CampList[[#This Row],[Total]]/CampList[[#This Row],[HH]],"NA")</f>
        <v>5.3030303030303028</v>
      </c>
      <c r="U40" s="276" t="s">
        <v>465</v>
      </c>
      <c r="V40" s="276" t="s">
        <v>1013</v>
      </c>
      <c r="W40" s="276" t="s">
        <v>508</v>
      </c>
      <c r="X40" s="276" t="s">
        <v>743</v>
      </c>
      <c r="Y40" s="288">
        <v>40878</v>
      </c>
      <c r="Z40" s="288" t="s">
        <v>424</v>
      </c>
      <c r="AA40" s="308" t="s">
        <v>776</v>
      </c>
      <c r="AB40" s="290">
        <v>43008</v>
      </c>
      <c r="AC40" s="290"/>
      <c r="AD40" s="291" t="s">
        <v>1397</v>
      </c>
      <c r="AE40" s="276" t="str">
        <f ca="1">IFERROR(OFFSET(DistanceToCamp[Nearest Town],MATCH(CampList[[#This Row],[CP_Pcode]],DistanceToCamp[CP_Pcode],0)-1,0,1,1),"")</f>
        <v>Namhkan Town</v>
      </c>
      <c r="AF40" s="292">
        <f ca="1">IFERROR(OFFSET(DistanceToCamp[distance],MATCH(CampList[[#This Row],[CP_Pcode]],DistanceToCamp[CP_Pcode],0)-1,0,1,1),"")</f>
        <v>1.5619149693996526</v>
      </c>
      <c r="AG40" s="293">
        <f ca="1">IFERROR(INT(CampList[[#This Row],[Distance]]/5)+1,"")</f>
        <v>1</v>
      </c>
      <c r="AI40" s="489"/>
      <c r="AJ40" s="489"/>
    </row>
    <row r="41" spans="2:36" s="203" customFormat="1" ht="15.75" customHeight="1" x14ac:dyDescent="0.25">
      <c r="B41" s="308" t="s">
        <v>460</v>
      </c>
      <c r="C41" s="274" t="s">
        <v>378</v>
      </c>
      <c r="D41" s="274" t="s">
        <v>479</v>
      </c>
      <c r="E41" s="274" t="s">
        <v>237</v>
      </c>
      <c r="F41" s="274" t="s">
        <v>485</v>
      </c>
      <c r="G41" s="274" t="s">
        <v>309</v>
      </c>
      <c r="H41" s="274" t="s">
        <v>486</v>
      </c>
      <c r="I41" s="274" t="s">
        <v>636</v>
      </c>
      <c r="J41" s="274" t="s">
        <v>637</v>
      </c>
      <c r="K41" s="274" t="s">
        <v>638</v>
      </c>
      <c r="L41" s="274" t="s">
        <v>639</v>
      </c>
      <c r="M41" s="274" t="s">
        <v>347</v>
      </c>
      <c r="N41" s="274" t="s">
        <v>346</v>
      </c>
      <c r="O41" s="284">
        <v>97.428251153846105</v>
      </c>
      <c r="P41" s="284">
        <v>25.333683333333301</v>
      </c>
      <c r="Q41" s="285"/>
      <c r="R41" s="414">
        <v>46</v>
      </c>
      <c r="S41" s="414">
        <v>190</v>
      </c>
      <c r="T41" s="287">
        <f>IF(CampList[[#This Row],[HH]]&gt;0,CampList[[#This Row],[Total]]/CampList[[#This Row],[HH]],"NA")</f>
        <v>4.1304347826086953</v>
      </c>
      <c r="U41" s="276" t="s">
        <v>465</v>
      </c>
      <c r="V41" s="276" t="s">
        <v>1013</v>
      </c>
      <c r="W41" s="276" t="s">
        <v>508</v>
      </c>
      <c r="X41" s="276" t="s">
        <v>743</v>
      </c>
      <c r="Y41" s="421">
        <v>40848</v>
      </c>
      <c r="Z41" s="288" t="s">
        <v>462</v>
      </c>
      <c r="AA41" s="274" t="s">
        <v>776</v>
      </c>
      <c r="AB41" s="290">
        <v>43008</v>
      </c>
      <c r="AC41" s="290"/>
      <c r="AD41" s="291" t="s">
        <v>1337</v>
      </c>
      <c r="AE41" s="276" t="str">
        <f ca="1">IFERROR(OFFSET(DistanceToCamp[Nearest Town],MATCH(CampList[[#This Row],[CP_Pcode]],DistanceToCamp[CP_Pcode],0)-1,0,1,1),"")</f>
        <v>Waingmaw Town</v>
      </c>
      <c r="AF41" s="292">
        <f ca="1">IFERROR(OFFSET(DistanceToCamp[distance],MATCH(CampList[[#This Row],[CP_Pcode]],DistanceToCamp[CP_Pcode],0)-1,0,1,1),"")</f>
        <v>2.4174307716662291</v>
      </c>
      <c r="AG41" s="293">
        <f ca="1">IFERROR(INT(CampList[[#This Row],[Distance]]/5)+1,"")</f>
        <v>1</v>
      </c>
      <c r="AI41" s="489"/>
      <c r="AJ41" s="489"/>
    </row>
    <row r="42" spans="2:36" s="203" customFormat="1" ht="15.75" customHeight="1" x14ac:dyDescent="0.25">
      <c r="B42" s="308" t="s">
        <v>460</v>
      </c>
      <c r="C42" s="274" t="s">
        <v>378</v>
      </c>
      <c r="D42" s="274" t="s">
        <v>479</v>
      </c>
      <c r="E42" s="274" t="s">
        <v>237</v>
      </c>
      <c r="F42" s="274" t="s">
        <v>485</v>
      </c>
      <c r="G42" s="274" t="s">
        <v>309</v>
      </c>
      <c r="H42" s="274" t="s">
        <v>486</v>
      </c>
      <c r="I42" s="274" t="s">
        <v>636</v>
      </c>
      <c r="J42" s="274" t="s">
        <v>637</v>
      </c>
      <c r="K42" s="274" t="s">
        <v>655</v>
      </c>
      <c r="L42" s="274" t="s">
        <v>656</v>
      </c>
      <c r="M42" s="274" t="s">
        <v>315</v>
      </c>
      <c r="N42" s="274" t="s">
        <v>314</v>
      </c>
      <c r="O42" s="284">
        <v>97.444283730158702</v>
      </c>
      <c r="P42" s="284">
        <v>25.351250396825399</v>
      </c>
      <c r="Q42" s="285">
        <v>476</v>
      </c>
      <c r="R42" s="414">
        <v>69</v>
      </c>
      <c r="S42" s="414">
        <v>286</v>
      </c>
      <c r="T42" s="287">
        <f>IF(CampList[[#This Row],[HH]]&gt;0,CampList[[#This Row],[Total]]/CampList[[#This Row],[HH]],"NA")</f>
        <v>4.1449275362318838</v>
      </c>
      <c r="U42" s="276" t="s">
        <v>465</v>
      </c>
      <c r="V42" s="276" t="s">
        <v>1013</v>
      </c>
      <c r="W42" s="276" t="s">
        <v>508</v>
      </c>
      <c r="X42" s="276" t="s">
        <v>743</v>
      </c>
      <c r="Y42" s="421">
        <v>40848</v>
      </c>
      <c r="Z42" s="288" t="s">
        <v>462</v>
      </c>
      <c r="AA42" s="274" t="s">
        <v>776</v>
      </c>
      <c r="AB42" s="290">
        <v>43008</v>
      </c>
      <c r="AC42" s="290"/>
      <c r="AD42" s="291" t="s">
        <v>1337</v>
      </c>
      <c r="AE42" s="276" t="str">
        <f ca="1">IFERROR(OFFSET(DistanceToCamp[Nearest Town],MATCH(CampList[[#This Row],[CP_Pcode]],DistanceToCamp[CP_Pcode],0)-1,0,1,1),"")</f>
        <v>Waingmaw Town</v>
      </c>
      <c r="AF42" s="292">
        <f ca="1">IFERROR(OFFSET(DistanceToCamp[distance],MATCH(CampList[[#This Row],[CP_Pcode]],DistanceToCamp[CP_Pcode],0)-1,0,1,1),"")</f>
        <v>0.15089472113650237</v>
      </c>
      <c r="AG42" s="293">
        <f ca="1">IFERROR(INT(CampList[[#This Row],[Distance]]/5)+1,"")</f>
        <v>1</v>
      </c>
      <c r="AI42" s="489"/>
      <c r="AJ42" s="489"/>
    </row>
    <row r="43" spans="2:36" s="203" customFormat="1" ht="15.75" customHeight="1" x14ac:dyDescent="0.25">
      <c r="B43" s="308" t="s">
        <v>460</v>
      </c>
      <c r="C43" s="274" t="s">
        <v>378</v>
      </c>
      <c r="D43" s="274" t="s">
        <v>479</v>
      </c>
      <c r="E43" s="274" t="s">
        <v>237</v>
      </c>
      <c r="F43" s="274" t="s">
        <v>485</v>
      </c>
      <c r="G43" s="274" t="s">
        <v>309</v>
      </c>
      <c r="H43" s="274" t="s">
        <v>486</v>
      </c>
      <c r="I43" s="274" t="s">
        <v>634</v>
      </c>
      <c r="J43" s="274" t="s">
        <v>635</v>
      </c>
      <c r="K43" s="274" t="s">
        <v>634</v>
      </c>
      <c r="L43" s="274">
        <v>165740</v>
      </c>
      <c r="M43" s="274" t="s">
        <v>325</v>
      </c>
      <c r="N43" s="274" t="s">
        <v>324</v>
      </c>
      <c r="O43" s="284">
        <v>97.426536944444507</v>
      </c>
      <c r="P43" s="284">
        <v>25.409612685185198</v>
      </c>
      <c r="Q43" s="285">
        <v>0</v>
      </c>
      <c r="R43" s="653">
        <v>46</v>
      </c>
      <c r="S43" s="653">
        <v>193</v>
      </c>
      <c r="T43" s="287">
        <f>IF(CampList[[#This Row],[HH]]&gt;0,CampList[[#This Row],[Total]]/CampList[[#This Row],[HH]],"NA")</f>
        <v>4.1956521739130439</v>
      </c>
      <c r="U43" s="276" t="s">
        <v>465</v>
      </c>
      <c r="V43" s="276" t="s">
        <v>1013</v>
      </c>
      <c r="W43" s="276" t="s">
        <v>508</v>
      </c>
      <c r="X43" s="276" t="s">
        <v>743</v>
      </c>
      <c r="Y43" s="421">
        <v>40878</v>
      </c>
      <c r="Z43" s="288" t="s">
        <v>424</v>
      </c>
      <c r="AA43" s="308" t="s">
        <v>776</v>
      </c>
      <c r="AB43" s="290">
        <v>43008</v>
      </c>
      <c r="AC43" s="290"/>
      <c r="AD43" s="283" t="s">
        <v>1373</v>
      </c>
      <c r="AE43" s="276" t="str">
        <f ca="1">IFERROR(OFFSET(DistanceToCamp[Nearest Town],MATCH(CampList[[#This Row],[CP_Pcode]],DistanceToCamp[CP_Pcode],0)-1,0,1,1),"")</f>
        <v>Myitkyina Town</v>
      </c>
      <c r="AF43" s="292">
        <f ca="1">IFERROR(OFFSET(DistanceToCamp[distance],MATCH(CampList[[#This Row],[CP_Pcode]],DistanceToCamp[CP_Pcode],0)-1,0,1,1),"")</f>
        <v>4.3887485673235673</v>
      </c>
      <c r="AG43" s="293">
        <f ca="1">IFERROR(INT(CampList[[#This Row],[Distance]]/5)+1,"")</f>
        <v>1</v>
      </c>
      <c r="AI43" s="489"/>
      <c r="AJ43" s="489"/>
    </row>
    <row r="44" spans="2:36" s="203" customFormat="1" ht="15.75" customHeight="1" x14ac:dyDescent="0.25">
      <c r="B44" s="308" t="s">
        <v>460</v>
      </c>
      <c r="C44" s="274" t="s">
        <v>378</v>
      </c>
      <c r="D44" s="274" t="s">
        <v>479</v>
      </c>
      <c r="E44" s="274" t="s">
        <v>237</v>
      </c>
      <c r="F44" s="274" t="s">
        <v>485</v>
      </c>
      <c r="G44" s="274" t="s">
        <v>309</v>
      </c>
      <c r="H44" s="274" t="s">
        <v>486</v>
      </c>
      <c r="I44" s="274" t="s">
        <v>634</v>
      </c>
      <c r="J44" s="274" t="s">
        <v>635</v>
      </c>
      <c r="K44" s="274" t="s">
        <v>634</v>
      </c>
      <c r="L44" s="274">
        <v>165740</v>
      </c>
      <c r="M44" s="274" t="s">
        <v>323</v>
      </c>
      <c r="N44" s="274" t="s">
        <v>322</v>
      </c>
      <c r="O44" s="284">
        <v>97.434855869565197</v>
      </c>
      <c r="P44" s="284">
        <v>25.4118005797101</v>
      </c>
      <c r="Q44" s="285">
        <v>0</v>
      </c>
      <c r="R44" s="653">
        <v>499</v>
      </c>
      <c r="S44" s="653">
        <v>2543</v>
      </c>
      <c r="T44" s="287">
        <f>IF(CampList[[#This Row],[HH]]&gt;0,CampList[[#This Row],[Total]]/CampList[[#This Row],[HH]],"NA")</f>
        <v>5.0961923847695392</v>
      </c>
      <c r="U44" s="276" t="s">
        <v>465</v>
      </c>
      <c r="V44" s="276" t="s">
        <v>1013</v>
      </c>
      <c r="W44" s="276" t="s">
        <v>508</v>
      </c>
      <c r="X44" s="276" t="s">
        <v>786</v>
      </c>
      <c r="Y44" s="421">
        <v>41061</v>
      </c>
      <c r="Z44" s="288" t="s">
        <v>424</v>
      </c>
      <c r="AA44" s="308" t="s">
        <v>776</v>
      </c>
      <c r="AB44" s="290">
        <v>43008</v>
      </c>
      <c r="AC44" s="290"/>
      <c r="AD44" s="283" t="s">
        <v>1374</v>
      </c>
      <c r="AE44" s="276" t="str">
        <f ca="1">IFERROR(OFFSET(DistanceToCamp[Nearest Town],MATCH(CampList[[#This Row],[CP_Pcode]],DistanceToCamp[CP_Pcode],0)-1,0,1,1),"")</f>
        <v>Myitkyina Town</v>
      </c>
      <c r="AF44" s="292">
        <f ca="1">IFERROR(OFFSET(DistanceToCamp[distance],MATCH(CampList[[#This Row],[CP_Pcode]],DistanceToCamp[CP_Pcode],0)-1,0,1,1),"")</f>
        <v>5.2238983299151851</v>
      </c>
      <c r="AG44" s="293">
        <f ca="1">IFERROR(INT(CampList[[#This Row],[Distance]]/5)+1,"")</f>
        <v>2</v>
      </c>
      <c r="AI44" s="489"/>
      <c r="AJ44" s="489"/>
    </row>
    <row r="45" spans="2:36" s="203" customFormat="1" ht="15.75" customHeight="1" x14ac:dyDescent="0.25">
      <c r="B45" s="308" t="s">
        <v>460</v>
      </c>
      <c r="C45" s="274" t="s">
        <v>378</v>
      </c>
      <c r="D45" s="274" t="s">
        <v>479</v>
      </c>
      <c r="E45" s="274" t="s">
        <v>237</v>
      </c>
      <c r="F45" s="274" t="s">
        <v>485</v>
      </c>
      <c r="G45" s="274" t="s">
        <v>309</v>
      </c>
      <c r="H45" s="274" t="s">
        <v>486</v>
      </c>
      <c r="I45" s="274" t="s">
        <v>712</v>
      </c>
      <c r="J45" s="274" t="s">
        <v>713</v>
      </c>
      <c r="K45" s="274" t="s">
        <v>714</v>
      </c>
      <c r="L45" s="274">
        <v>165845</v>
      </c>
      <c r="M45" s="274" t="s">
        <v>345</v>
      </c>
      <c r="N45" s="274" t="s">
        <v>344</v>
      </c>
      <c r="O45" s="284">
        <v>98.025662999999994</v>
      </c>
      <c r="P45" s="284">
        <v>25.418084</v>
      </c>
      <c r="Q45" s="285"/>
      <c r="R45" s="414">
        <v>182</v>
      </c>
      <c r="S45" s="414">
        <v>969</v>
      </c>
      <c r="T45" s="287">
        <f>IF(CampList[[#This Row],[HH]]&gt;0,CampList[[#This Row],[Total]]/CampList[[#This Row],[HH]],"NA")</f>
        <v>5.3241758241758239</v>
      </c>
      <c r="U45" s="276" t="s">
        <v>465</v>
      </c>
      <c r="V45" s="276" t="s">
        <v>1013</v>
      </c>
      <c r="W45" s="276" t="s">
        <v>508</v>
      </c>
      <c r="X45" s="276" t="s">
        <v>786</v>
      </c>
      <c r="Y45" s="421">
        <v>40848</v>
      </c>
      <c r="Z45" s="288" t="s">
        <v>424</v>
      </c>
      <c r="AA45" s="274" t="s">
        <v>776</v>
      </c>
      <c r="AB45" s="290">
        <v>43008</v>
      </c>
      <c r="AC45" s="290"/>
      <c r="AD45" s="291" t="s">
        <v>1376</v>
      </c>
      <c r="AE45" s="276" t="str">
        <f ca="1">IFERROR(OFFSET(DistanceToCamp[Nearest Town],MATCH(CampList[[#This Row],[CP_Pcode]],DistanceToCamp[CP_Pcode],0)-1,0,1,1),"")</f>
        <v>Kan Paik Ti Town</v>
      </c>
      <c r="AF45" s="292">
        <f ca="1">IFERROR(OFFSET(DistanceToCamp[distance],MATCH(CampList[[#This Row],[CP_Pcode]],DistanceToCamp[CP_Pcode],0)-1,0,1,1),"")</f>
        <v>9.3609732231189877</v>
      </c>
      <c r="AG45" s="293">
        <f ca="1">IFERROR(INT(CampList[[#This Row],[Distance]]/5)+1,"")</f>
        <v>2</v>
      </c>
      <c r="AI45" s="489"/>
      <c r="AJ45" s="489"/>
    </row>
    <row r="46" spans="2:36" s="203" customFormat="1" ht="15.75" customHeight="1" x14ac:dyDescent="0.25">
      <c r="B46" s="283" t="s">
        <v>460</v>
      </c>
      <c r="C46" s="274" t="s">
        <v>378</v>
      </c>
      <c r="D46" s="274" t="s">
        <v>479</v>
      </c>
      <c r="E46" s="274" t="s">
        <v>237</v>
      </c>
      <c r="F46" s="274" t="s">
        <v>485</v>
      </c>
      <c r="G46" s="274" t="s">
        <v>27</v>
      </c>
      <c r="H46" s="274" t="s">
        <v>488</v>
      </c>
      <c r="I46" s="274" t="s">
        <v>732</v>
      </c>
      <c r="J46" s="274" t="s">
        <v>733</v>
      </c>
      <c r="K46" s="274" t="s">
        <v>1122</v>
      </c>
      <c r="L46" s="298" t="s">
        <v>1121</v>
      </c>
      <c r="M46" s="274" t="s">
        <v>28</v>
      </c>
      <c r="N46" s="274" t="s">
        <v>30</v>
      </c>
      <c r="O46" s="284">
        <v>98.131550000000004</v>
      </c>
      <c r="P46" s="284">
        <v>25.889410000000002</v>
      </c>
      <c r="Q46" s="285">
        <v>304</v>
      </c>
      <c r="R46" s="414">
        <v>108</v>
      </c>
      <c r="S46" s="654">
        <v>516</v>
      </c>
      <c r="T46" s="287">
        <f>IF(CampList[[#This Row],[HH]]&gt;0,CampList[[#This Row],[Total]]/CampList[[#This Row],[HH]],"NA")</f>
        <v>4.7777777777777777</v>
      </c>
      <c r="U46" s="276" t="s">
        <v>465</v>
      </c>
      <c r="V46" s="276" t="s">
        <v>1013</v>
      </c>
      <c r="W46" s="276" t="s">
        <v>508</v>
      </c>
      <c r="X46" s="276" t="s">
        <v>743</v>
      </c>
      <c r="Y46" s="421">
        <v>41244</v>
      </c>
      <c r="Z46" s="288" t="s">
        <v>462</v>
      </c>
      <c r="AA46" s="308" t="s">
        <v>776</v>
      </c>
      <c r="AB46" s="290">
        <v>43008</v>
      </c>
      <c r="AC46" s="290"/>
      <c r="AD46" s="283" t="s">
        <v>1342</v>
      </c>
      <c r="AE46" s="276" t="str">
        <f ca="1">IFERROR(OFFSET(DistanceToCamp[Nearest Town],MATCH(CampList[[#This Row],[CP_Pcode]],DistanceToCamp[CP_Pcode],0)-1,0,1,1),"")</f>
        <v>Chipwi Town</v>
      </c>
      <c r="AF46" s="292">
        <f ca="1">IFERROR(OFFSET(DistanceToCamp[distance],MATCH(CampList[[#This Row],[CP_Pcode]],DistanceToCamp[CP_Pcode],0)-1,0,1,1),"")</f>
        <v>0.15809623370782155</v>
      </c>
      <c r="AG46" s="293">
        <f ca="1">IFERROR(INT(CampList[[#This Row],[Distance]]/5)+1,"")</f>
        <v>1</v>
      </c>
      <c r="AI46" s="489"/>
      <c r="AJ46" s="489"/>
    </row>
    <row r="47" spans="2:36" s="203" customFormat="1" ht="15.75" customHeight="1" x14ac:dyDescent="0.25">
      <c r="B47" s="283" t="s">
        <v>460</v>
      </c>
      <c r="C47" s="274" t="s">
        <v>378</v>
      </c>
      <c r="D47" s="274" t="s">
        <v>479</v>
      </c>
      <c r="E47" s="274" t="s">
        <v>237</v>
      </c>
      <c r="F47" s="274" t="s">
        <v>485</v>
      </c>
      <c r="G47" s="274" t="s">
        <v>27</v>
      </c>
      <c r="H47" s="274" t="s">
        <v>488</v>
      </c>
      <c r="I47" s="291" t="s">
        <v>734</v>
      </c>
      <c r="J47" s="291" t="s">
        <v>735</v>
      </c>
      <c r="K47" s="291" t="s">
        <v>736</v>
      </c>
      <c r="L47" s="291">
        <v>166355</v>
      </c>
      <c r="M47" s="274" t="s">
        <v>362</v>
      </c>
      <c r="N47" s="274" t="s">
        <v>29</v>
      </c>
      <c r="O47" s="284">
        <v>98.475719999999995</v>
      </c>
      <c r="P47" s="284">
        <v>25.754110000000001</v>
      </c>
      <c r="Q47" s="285">
        <v>2785</v>
      </c>
      <c r="R47" s="414">
        <v>158</v>
      </c>
      <c r="S47" s="653">
        <v>981</v>
      </c>
      <c r="T47" s="287">
        <f>IF(CampList[[#This Row],[HH]]&gt;0,CampList[[#This Row],[Total]]/CampList[[#This Row],[HH]],"NA")</f>
        <v>6.2088607594936711</v>
      </c>
      <c r="U47" s="276" t="s">
        <v>467</v>
      </c>
      <c r="V47" s="276" t="s">
        <v>1013</v>
      </c>
      <c r="W47" s="276" t="s">
        <v>508</v>
      </c>
      <c r="X47" s="276" t="s">
        <v>787</v>
      </c>
      <c r="Y47" s="421">
        <v>41030</v>
      </c>
      <c r="Z47" s="288" t="s">
        <v>424</v>
      </c>
      <c r="AA47" s="308" t="s">
        <v>776</v>
      </c>
      <c r="AB47" s="290">
        <v>43008</v>
      </c>
      <c r="AC47" s="290"/>
      <c r="AD47" s="283" t="s">
        <v>1375</v>
      </c>
      <c r="AE47" s="276" t="str">
        <f ca="1">IFERROR(OFFSET(DistanceToCamp[Nearest Town],MATCH(CampList[[#This Row],[CP_Pcode]],DistanceToCamp[CP_Pcode],0)-1,0,1,1),"")</f>
        <v>Pang War Town</v>
      </c>
      <c r="AF47" s="292">
        <f ca="1">IFERROR(OFFSET(DistanceToCamp[distance],MATCH(CampList[[#This Row],[CP_Pcode]],DistanceToCamp[CP_Pcode],0)-1,0,1,1),"")</f>
        <v>19.834999342466848</v>
      </c>
      <c r="AG47" s="293">
        <f ca="1">IFERROR(INT(CampList[[#This Row],[Distance]]/5)+1,"")</f>
        <v>4</v>
      </c>
      <c r="AI47" s="489"/>
      <c r="AJ47" s="489"/>
    </row>
    <row r="48" spans="2:36" s="203" customFormat="1" ht="15.75" hidden="1" customHeight="1" x14ac:dyDescent="0.25">
      <c r="B48" s="283" t="s">
        <v>777</v>
      </c>
      <c r="C48" s="274" t="s">
        <v>378</v>
      </c>
      <c r="D48" s="274" t="s">
        <v>479</v>
      </c>
      <c r="E48" s="274" t="s">
        <v>180</v>
      </c>
      <c r="F48" s="274" t="s">
        <v>480</v>
      </c>
      <c r="G48" s="274" t="s">
        <v>481</v>
      </c>
      <c r="H48" s="274" t="s">
        <v>482</v>
      </c>
      <c r="I48" s="291" t="s">
        <v>553</v>
      </c>
      <c r="J48" s="291" t="s">
        <v>554</v>
      </c>
      <c r="K48" s="291" t="s">
        <v>701</v>
      </c>
      <c r="L48" s="291">
        <v>216877</v>
      </c>
      <c r="M48" s="274" t="s">
        <v>48</v>
      </c>
      <c r="N48" s="274" t="s">
        <v>47</v>
      </c>
      <c r="O48" s="284">
        <v>96.339870000000005</v>
      </c>
      <c r="P48" s="284">
        <v>25.655989999999999</v>
      </c>
      <c r="Q48" s="301"/>
      <c r="R48" s="376"/>
      <c r="S48" s="377"/>
      <c r="T48" s="287" t="str">
        <f>IF(CampList[[#This Row],[HH]]&gt;0,CampList[[#This Row],[Total]]/CampList[[#This Row],[HH]],"NA")</f>
        <v>NA</v>
      </c>
      <c r="U48" s="276" t="s">
        <v>465</v>
      </c>
      <c r="V48" s="294" t="s">
        <v>1013</v>
      </c>
      <c r="W48" s="276" t="s">
        <v>508</v>
      </c>
      <c r="X48" s="294"/>
      <c r="Y48" s="310"/>
      <c r="Z48" s="311"/>
      <c r="AA48" s="308"/>
      <c r="AB48" s="314"/>
      <c r="AC48" s="314"/>
      <c r="AD48" s="283" t="s">
        <v>542</v>
      </c>
      <c r="AE48" s="276" t="str">
        <f ca="1">IFERROR(OFFSET(DistanceToCamp[Nearest Town],MATCH(CampList[[#This Row],[CP_Pcode]],DistanceToCamp[CP_Pcode],0)-1,0,1,1),"")</f>
        <v/>
      </c>
      <c r="AF48" s="292" t="str">
        <f ca="1">IFERROR(OFFSET(DistanceToCamp[distance],MATCH(CampList[[#This Row],[CP_Pcode]],DistanceToCamp[CP_Pcode],0)-1,0,1,1),"")</f>
        <v/>
      </c>
      <c r="AG48" s="293" t="str">
        <f ca="1">IFERROR(INT(CampList[[#This Row],[Distance]]/5)+1,"")</f>
        <v/>
      </c>
      <c r="AI48" s="489"/>
      <c r="AJ48" s="489"/>
    </row>
    <row r="49" spans="2:36" s="203" customFormat="1" ht="15.75" hidden="1" customHeight="1" x14ac:dyDescent="0.25">
      <c r="B49" s="283" t="s">
        <v>777</v>
      </c>
      <c r="C49" s="274" t="s">
        <v>378</v>
      </c>
      <c r="D49" s="274" t="s">
        <v>479</v>
      </c>
      <c r="E49" s="274" t="s">
        <v>237</v>
      </c>
      <c r="F49" s="274" t="s">
        <v>485</v>
      </c>
      <c r="G49" s="274" t="s">
        <v>27</v>
      </c>
      <c r="H49" s="274" t="s">
        <v>488</v>
      </c>
      <c r="I49" s="291" t="s">
        <v>729</v>
      </c>
      <c r="J49" s="291" t="s">
        <v>730</v>
      </c>
      <c r="K49" s="291" t="s">
        <v>731</v>
      </c>
      <c r="L49" s="291">
        <v>166337</v>
      </c>
      <c r="M49" s="274" t="s">
        <v>34</v>
      </c>
      <c r="N49" s="274" t="s">
        <v>33</v>
      </c>
      <c r="O49" s="284">
        <v>98.354146999999998</v>
      </c>
      <c r="P49" s="284">
        <v>25.708763000000001</v>
      </c>
      <c r="Q49" s="302"/>
      <c r="R49" s="415"/>
      <c r="S49" s="416"/>
      <c r="T49" s="287" t="str">
        <f>IF(CampList[[#This Row],[HH]]&gt;0,CampList[[#This Row],[Total]]/CampList[[#This Row],[HH]],"NA")</f>
        <v>NA</v>
      </c>
      <c r="U49" s="276" t="s">
        <v>465</v>
      </c>
      <c r="V49" s="276" t="s">
        <v>1013</v>
      </c>
      <c r="W49" s="315" t="s">
        <v>12</v>
      </c>
      <c r="X49" s="276" t="s">
        <v>786</v>
      </c>
      <c r="Y49" s="422"/>
      <c r="Z49" s="289"/>
      <c r="AA49" s="403" t="s">
        <v>776</v>
      </c>
      <c r="AB49" s="488">
        <v>42927</v>
      </c>
      <c r="AC49" s="488"/>
      <c r="AD49" s="283" t="s">
        <v>1427</v>
      </c>
      <c r="AE49" s="276" t="str">
        <f ca="1">IFERROR(OFFSET(DistanceToCamp[Nearest Town],MATCH(CampList[[#This Row],[CP_Pcode]],DistanceToCamp[CP_Pcode],0)-1,0,1,1),"")</f>
        <v>Pang War Town</v>
      </c>
      <c r="AF49" s="292">
        <f ca="1">IFERROR(OFFSET(DistanceToCamp[distance],MATCH(CampList[[#This Row],[CP_Pcode]],DistanceToCamp[CP_Pcode],0)-1,0,1,1),"")</f>
        <v>12.486065224161463</v>
      </c>
      <c r="AG49" s="293">
        <f ca="1">IFERROR(INT(CampList[[#This Row],[Distance]]/5)+1,"")</f>
        <v>3</v>
      </c>
      <c r="AI49" s="489"/>
      <c r="AJ49" s="489"/>
    </row>
    <row r="50" spans="2:36" s="203" customFormat="1" ht="15.75" hidden="1" customHeight="1" x14ac:dyDescent="0.25">
      <c r="B50" s="283" t="s">
        <v>777</v>
      </c>
      <c r="C50" s="274" t="s">
        <v>378</v>
      </c>
      <c r="D50" s="274" t="s">
        <v>479</v>
      </c>
      <c r="E50" s="274" t="s">
        <v>180</v>
      </c>
      <c r="F50" s="274" t="s">
        <v>480</v>
      </c>
      <c r="G50" s="274" t="s">
        <v>481</v>
      </c>
      <c r="H50" s="274" t="s">
        <v>482</v>
      </c>
      <c r="I50" s="291" t="s">
        <v>544</v>
      </c>
      <c r="J50" s="291" t="s">
        <v>545</v>
      </c>
      <c r="K50" s="291" t="s">
        <v>640</v>
      </c>
      <c r="L50" s="291" t="s">
        <v>641</v>
      </c>
      <c r="M50" s="274" t="s">
        <v>50</v>
      </c>
      <c r="N50" s="274" t="s">
        <v>49</v>
      </c>
      <c r="O50" s="284"/>
      <c r="P50" s="284"/>
      <c r="Q50" s="301"/>
      <c r="R50" s="376"/>
      <c r="S50" s="377"/>
      <c r="T50" s="287" t="str">
        <f>IF(CampList[[#This Row],[HH]]&gt;0,CampList[[#This Row],[Total]]/CampList[[#This Row],[HH]],"NA")</f>
        <v>NA</v>
      </c>
      <c r="U50" s="276" t="s">
        <v>465</v>
      </c>
      <c r="V50" s="294" t="s">
        <v>1013</v>
      </c>
      <c r="W50" s="276" t="s">
        <v>508</v>
      </c>
      <c r="X50" s="294"/>
      <c r="Y50" s="310"/>
      <c r="Z50" s="311"/>
      <c r="AA50" s="308"/>
      <c r="AB50" s="314"/>
      <c r="AC50" s="314"/>
      <c r="AD50" s="283" t="s">
        <v>542</v>
      </c>
      <c r="AE50" s="276" t="str">
        <f ca="1">IFERROR(OFFSET(DistanceToCamp[Nearest Town],MATCH(CampList[[#This Row],[CP_Pcode]],DistanceToCamp[CP_Pcode],0)-1,0,1,1),"")</f>
        <v/>
      </c>
      <c r="AF50" s="292" t="str">
        <f ca="1">IFERROR(OFFSET(DistanceToCamp[distance],MATCH(CampList[[#This Row],[CP_Pcode]],DistanceToCamp[CP_Pcode],0)-1,0,1,1),"")</f>
        <v/>
      </c>
      <c r="AG50" s="293" t="str">
        <f ca="1">IFERROR(INT(CampList[[#This Row],[Distance]]/5)+1,"")</f>
        <v/>
      </c>
      <c r="AI50" s="489"/>
      <c r="AJ50" s="489"/>
    </row>
    <row r="51" spans="2:36" s="203" customFormat="1" ht="15.75" customHeight="1" x14ac:dyDescent="0.25">
      <c r="B51" s="283" t="s">
        <v>460</v>
      </c>
      <c r="C51" s="274" t="s">
        <v>378</v>
      </c>
      <c r="D51" s="274" t="s">
        <v>479</v>
      </c>
      <c r="E51" s="274" t="s">
        <v>5</v>
      </c>
      <c r="F51" s="274" t="s">
        <v>483</v>
      </c>
      <c r="G51" s="274" t="s">
        <v>5</v>
      </c>
      <c r="H51" s="274" t="s">
        <v>484</v>
      </c>
      <c r="I51" s="274" t="s">
        <v>578</v>
      </c>
      <c r="J51" s="274" t="s">
        <v>579</v>
      </c>
      <c r="K51" s="274" t="s">
        <v>582</v>
      </c>
      <c r="L51" s="274" t="s">
        <v>583</v>
      </c>
      <c r="M51" s="274" t="s">
        <v>22</v>
      </c>
      <c r="N51" s="274" t="s">
        <v>21</v>
      </c>
      <c r="O51" s="284">
        <v>97.229116811594196</v>
      </c>
      <c r="P51" s="284">
        <v>24.268292826086999</v>
      </c>
      <c r="Q51" s="285"/>
      <c r="R51" s="414">
        <v>638</v>
      </c>
      <c r="S51" s="414">
        <v>3971</v>
      </c>
      <c r="T51" s="287">
        <f>IF(CampList[[#This Row],[HH]]&gt;0,CampList[[#This Row],[Total]]/CampList[[#This Row],[HH]],"NA")</f>
        <v>6.2241379310344831</v>
      </c>
      <c r="U51" s="276" t="s">
        <v>465</v>
      </c>
      <c r="V51" s="276" t="s">
        <v>1013</v>
      </c>
      <c r="W51" s="276" t="s">
        <v>508</v>
      </c>
      <c r="X51" s="276" t="s">
        <v>743</v>
      </c>
      <c r="Y51" s="421">
        <v>40725</v>
      </c>
      <c r="Z51" s="288" t="s">
        <v>424</v>
      </c>
      <c r="AA51" s="274" t="s">
        <v>776</v>
      </c>
      <c r="AB51" s="290">
        <v>43008</v>
      </c>
      <c r="AC51" s="290"/>
      <c r="AD51" s="291" t="s">
        <v>1378</v>
      </c>
      <c r="AE51" s="276" t="str">
        <f ca="1">IFERROR(OFFSET(DistanceToCamp[Nearest Town],MATCH(CampList[[#This Row],[CP_Pcode]],DistanceToCamp[CP_Pcode],0)-1,0,1,1),"")</f>
        <v>Bhamo Town</v>
      </c>
      <c r="AF51" s="292">
        <f ca="1">IFERROR(OFFSET(DistanceToCamp[distance],MATCH(CampList[[#This Row],[CP_Pcode]],DistanceToCamp[CP_Pcode],0)-1,0,1,1),"")</f>
        <v>1.5797992800898704</v>
      </c>
      <c r="AG51" s="293">
        <f ca="1">IFERROR(INT(CampList[[#This Row],[Distance]]/5)+1,"")</f>
        <v>1</v>
      </c>
      <c r="AI51" s="489">
        <v>88</v>
      </c>
      <c r="AJ51" s="489">
        <v>505</v>
      </c>
    </row>
    <row r="52" spans="2:36" s="203" customFormat="1" ht="15.75" customHeight="1" x14ac:dyDescent="0.25">
      <c r="B52" s="283" t="s">
        <v>460</v>
      </c>
      <c r="C52" s="274" t="s">
        <v>378</v>
      </c>
      <c r="D52" s="274" t="s">
        <v>479</v>
      </c>
      <c r="E52" s="274" t="s">
        <v>5</v>
      </c>
      <c r="F52" s="274" t="s">
        <v>483</v>
      </c>
      <c r="G52" s="274" t="s">
        <v>5</v>
      </c>
      <c r="H52" s="274" t="s">
        <v>484</v>
      </c>
      <c r="I52" s="291" t="s">
        <v>1117</v>
      </c>
      <c r="J52" s="291" t="s">
        <v>1118</v>
      </c>
      <c r="K52" s="291" t="s">
        <v>1117</v>
      </c>
      <c r="L52" s="307">
        <v>166836</v>
      </c>
      <c r="M52" s="274" t="s">
        <v>18</v>
      </c>
      <c r="N52" s="274" t="s">
        <v>17</v>
      </c>
      <c r="O52" s="284">
        <v>97.240183461538507</v>
      </c>
      <c r="P52" s="284">
        <v>24.2631743589744</v>
      </c>
      <c r="Q52" s="285">
        <v>0</v>
      </c>
      <c r="R52" s="654">
        <v>129</v>
      </c>
      <c r="S52" s="654">
        <v>740</v>
      </c>
      <c r="T52" s="287">
        <f>IF(CampList[[#This Row],[HH]]&gt;0,CampList[[#This Row],[Total]]/CampList[[#This Row],[HH]],"NA")</f>
        <v>5.7364341085271322</v>
      </c>
      <c r="U52" s="276" t="s">
        <v>465</v>
      </c>
      <c r="V52" s="276" t="s">
        <v>1013</v>
      </c>
      <c r="W52" s="276" t="s">
        <v>508</v>
      </c>
      <c r="X52" s="276" t="s">
        <v>743</v>
      </c>
      <c r="Y52" s="421">
        <v>40695</v>
      </c>
      <c r="Z52" s="288" t="s">
        <v>462</v>
      </c>
      <c r="AA52" s="308" t="s">
        <v>776</v>
      </c>
      <c r="AB52" s="290">
        <v>43008</v>
      </c>
      <c r="AC52" s="290"/>
      <c r="AD52" s="283" t="s">
        <v>1343</v>
      </c>
      <c r="AE52" s="276" t="str">
        <f ca="1">IFERROR(OFFSET(DistanceToCamp[Nearest Town],MATCH(CampList[[#This Row],[CP_Pcode]],DistanceToCamp[CP_Pcode],0)-1,0,1,1),"")</f>
        <v>Bhamo Town</v>
      </c>
      <c r="AF52" s="292">
        <f ca="1">IFERROR(OFFSET(DistanceToCamp[distance],MATCH(CampList[[#This Row],[CP_Pcode]],DistanceToCamp[CP_Pcode],0)-1,0,1,1),"")</f>
        <v>1.0876401420946245</v>
      </c>
      <c r="AG52" s="293">
        <f ca="1">IFERROR(INT(CampList[[#This Row],[Distance]]/5)+1,"")</f>
        <v>1</v>
      </c>
      <c r="AI52" s="489"/>
      <c r="AJ52" s="489"/>
    </row>
    <row r="53" spans="2:36" s="203" customFormat="1" ht="15.75" customHeight="1" x14ac:dyDescent="0.25">
      <c r="B53" s="299" t="s">
        <v>460</v>
      </c>
      <c r="C53" s="275" t="s">
        <v>378</v>
      </c>
      <c r="D53" s="275" t="s">
        <v>479</v>
      </c>
      <c r="E53" s="275" t="s">
        <v>5</v>
      </c>
      <c r="F53" s="275" t="s">
        <v>483</v>
      </c>
      <c r="G53" s="275" t="s">
        <v>5</v>
      </c>
      <c r="H53" s="275" t="s">
        <v>484</v>
      </c>
      <c r="I53" s="275" t="s">
        <v>1117</v>
      </c>
      <c r="J53" s="300" t="s">
        <v>1118</v>
      </c>
      <c r="K53" s="275" t="s">
        <v>1117</v>
      </c>
      <c r="L53" s="275">
        <v>166836</v>
      </c>
      <c r="M53" s="275" t="s">
        <v>6</v>
      </c>
      <c r="N53" s="275" t="s">
        <v>4</v>
      </c>
      <c r="O53" s="286">
        <v>97.238829999999993</v>
      </c>
      <c r="P53" s="286">
        <v>24.260719999999999</v>
      </c>
      <c r="Q53" s="302"/>
      <c r="R53" s="417">
        <v>257</v>
      </c>
      <c r="S53" s="417">
        <v>1266</v>
      </c>
      <c r="T53" s="287">
        <f>IF(CampList[[#This Row],[HH]]&gt;0,CampList[[#This Row],[Total]]/CampList[[#This Row],[HH]],"NA")</f>
        <v>4.9260700389105061</v>
      </c>
      <c r="U53" s="224" t="s">
        <v>465</v>
      </c>
      <c r="V53" s="276" t="s">
        <v>1013</v>
      </c>
      <c r="W53" s="224" t="s">
        <v>508</v>
      </c>
      <c r="X53" s="224" t="s">
        <v>743</v>
      </c>
      <c r="Y53" s="422">
        <v>40848</v>
      </c>
      <c r="Z53" s="302" t="s">
        <v>942</v>
      </c>
      <c r="AA53" s="275" t="s">
        <v>776</v>
      </c>
      <c r="AB53" s="290">
        <v>43008</v>
      </c>
      <c r="AC53" s="290"/>
      <c r="AD53" s="304" t="s">
        <v>1310</v>
      </c>
      <c r="AE53" s="305" t="str">
        <f ca="1">IFERROR(OFFSET(DistanceToCamp[Nearest Town],MATCH(CampList[[#This Row],[CP_Pcode]],DistanceToCamp[CP_Pcode],0)-1,0,1,1),"")</f>
        <v>Bhamo Town</v>
      </c>
      <c r="AF53" s="292">
        <f ca="1">IFERROR(OFFSET(DistanceToCamp[distance],MATCH(CampList[[#This Row],[CP_Pcode]],DistanceToCamp[CP_Pcode],0)-1,0,1,1),"")</f>
        <v>0.78440046838596356</v>
      </c>
      <c r="AG53" s="306">
        <f ca="1">IFERROR(INT(CampList[[#This Row],[Distance]]/5)+1,"")</f>
        <v>1</v>
      </c>
      <c r="AI53" s="489"/>
      <c r="AJ53" s="489"/>
    </row>
    <row r="54" spans="2:36" s="203" customFormat="1" ht="15.75" customHeight="1" x14ac:dyDescent="0.25">
      <c r="B54" s="283" t="s">
        <v>460</v>
      </c>
      <c r="C54" s="274" t="s">
        <v>378</v>
      </c>
      <c r="D54" s="274" t="s">
        <v>479</v>
      </c>
      <c r="E54" s="274" t="s">
        <v>5</v>
      </c>
      <c r="F54" s="274" t="s">
        <v>483</v>
      </c>
      <c r="G54" s="274" t="s">
        <v>5</v>
      </c>
      <c r="H54" s="274" t="s">
        <v>484</v>
      </c>
      <c r="I54" s="291" t="s">
        <v>578</v>
      </c>
      <c r="J54" s="291" t="s">
        <v>579</v>
      </c>
      <c r="K54" s="291" t="s">
        <v>584</v>
      </c>
      <c r="L54" s="291" t="s">
        <v>585</v>
      </c>
      <c r="M54" s="274" t="s">
        <v>8</v>
      </c>
      <c r="N54" s="274" t="s">
        <v>7</v>
      </c>
      <c r="O54" s="284">
        <v>97.234200000000001</v>
      </c>
      <c r="P54" s="284">
        <v>24.253067000000001</v>
      </c>
      <c r="Q54" s="285">
        <v>0</v>
      </c>
      <c r="R54" s="414">
        <v>13</v>
      </c>
      <c r="S54" s="653">
        <v>58</v>
      </c>
      <c r="T54" s="287">
        <f>IF(CampList[[#This Row],[HH]]&gt;0,CampList[[#This Row],[Total]]/CampList[[#This Row],[HH]],"NA")</f>
        <v>4.4615384615384617</v>
      </c>
      <c r="U54" s="276" t="s">
        <v>465</v>
      </c>
      <c r="V54" s="276" t="s">
        <v>1013</v>
      </c>
      <c r="W54" s="276" t="s">
        <v>508</v>
      </c>
      <c r="X54" s="276" t="s">
        <v>743</v>
      </c>
      <c r="Y54" s="421">
        <v>41183</v>
      </c>
      <c r="Z54" s="288" t="s">
        <v>462</v>
      </c>
      <c r="AA54" s="308" t="s">
        <v>776</v>
      </c>
      <c r="AB54" s="290">
        <v>43008</v>
      </c>
      <c r="AC54" s="290"/>
      <c r="AD54" s="283" t="s">
        <v>1344</v>
      </c>
      <c r="AE54" s="276" t="str">
        <f ca="1">IFERROR(OFFSET(DistanceToCamp[Nearest Town],MATCH(CampList[[#This Row],[CP_Pcode]],DistanceToCamp[CP_Pcode],0)-1,0,1,1),"")</f>
        <v>Bhamo Town</v>
      </c>
      <c r="AF54" s="292">
        <f ca="1">IFERROR(OFFSET(DistanceToCamp[distance],MATCH(CampList[[#This Row],[CP_Pcode]],DistanceToCamp[CP_Pcode],0)-1,0,1,1),"")</f>
        <v>0.20824727902294948</v>
      </c>
      <c r="AG54" s="293">
        <f ca="1">IFERROR(INT(CampList[[#This Row],[Distance]]/5)+1,"")</f>
        <v>1</v>
      </c>
      <c r="AI54" s="489"/>
      <c r="AJ54" s="489"/>
    </row>
    <row r="55" spans="2:36" s="203" customFormat="1" ht="15.75" customHeight="1" x14ac:dyDescent="0.25">
      <c r="B55" s="283" t="s">
        <v>460</v>
      </c>
      <c r="C55" s="274" t="s">
        <v>378</v>
      </c>
      <c r="D55" s="274" t="s">
        <v>479</v>
      </c>
      <c r="E55" s="274" t="s">
        <v>5</v>
      </c>
      <c r="F55" s="274" t="s">
        <v>483</v>
      </c>
      <c r="G55" s="274" t="s">
        <v>5</v>
      </c>
      <c r="H55" s="274" t="s">
        <v>484</v>
      </c>
      <c r="I55" s="291" t="s">
        <v>578</v>
      </c>
      <c r="J55" s="291" t="s">
        <v>579</v>
      </c>
      <c r="K55" s="291" t="s">
        <v>584</v>
      </c>
      <c r="L55" s="291" t="s">
        <v>585</v>
      </c>
      <c r="M55" s="274" t="s">
        <v>14</v>
      </c>
      <c r="N55" s="274" t="s">
        <v>13</v>
      </c>
      <c r="O55" s="284">
        <v>97.236919999999998</v>
      </c>
      <c r="P55" s="284">
        <v>24.24766</v>
      </c>
      <c r="Q55" s="285">
        <v>0</v>
      </c>
      <c r="R55" s="414">
        <v>39</v>
      </c>
      <c r="S55" s="653">
        <v>225</v>
      </c>
      <c r="T55" s="287">
        <f>IF(CampList[[#This Row],[HH]]&gt;0,CampList[[#This Row],[Total]]/CampList[[#This Row],[HH]],"NA")</f>
        <v>5.7692307692307692</v>
      </c>
      <c r="U55" s="276" t="s">
        <v>465</v>
      </c>
      <c r="V55" s="276" t="s">
        <v>1013</v>
      </c>
      <c r="W55" s="276" t="s">
        <v>508</v>
      </c>
      <c r="X55" s="276" t="s">
        <v>743</v>
      </c>
      <c r="Y55" s="421">
        <v>40878</v>
      </c>
      <c r="Z55" s="288" t="s">
        <v>424</v>
      </c>
      <c r="AA55" s="308" t="s">
        <v>776</v>
      </c>
      <c r="AB55" s="290">
        <v>43008</v>
      </c>
      <c r="AC55" s="290"/>
      <c r="AD55" s="283" t="s">
        <v>1379</v>
      </c>
      <c r="AE55" s="276" t="str">
        <f ca="1">IFERROR(OFFSET(DistanceToCamp[Nearest Town],MATCH(CampList[[#This Row],[CP_Pcode]],DistanceToCamp[CP_Pcode],0)-1,0,1,1),"")</f>
        <v>Bhamo Town</v>
      </c>
      <c r="AF55" s="292">
        <f ca="1">IFERROR(OFFSET(DistanceToCamp[distance],MATCH(CampList[[#This Row],[CP_Pcode]],DistanceToCamp[CP_Pcode],0)-1,0,1,1),"")</f>
        <v>0.84749304721635399</v>
      </c>
      <c r="AG55" s="293">
        <f ca="1">IFERROR(INT(CampList[[#This Row],[Distance]]/5)+1,"")</f>
        <v>1</v>
      </c>
      <c r="AI55" s="489"/>
      <c r="AJ55" s="489"/>
    </row>
    <row r="56" spans="2:36" s="203" customFormat="1" ht="15.75" customHeight="1" x14ac:dyDescent="0.25">
      <c r="B56" s="283" t="s">
        <v>460</v>
      </c>
      <c r="C56" s="274" t="s">
        <v>378</v>
      </c>
      <c r="D56" s="274" t="s">
        <v>479</v>
      </c>
      <c r="E56" s="274" t="s">
        <v>5</v>
      </c>
      <c r="F56" s="274" t="s">
        <v>483</v>
      </c>
      <c r="G56" s="274" t="s">
        <v>5</v>
      </c>
      <c r="H56" s="274" t="s">
        <v>484</v>
      </c>
      <c r="I56" s="291" t="s">
        <v>586</v>
      </c>
      <c r="J56" s="291" t="s">
        <v>587</v>
      </c>
      <c r="K56" s="274" t="s">
        <v>586</v>
      </c>
      <c r="L56" s="300">
        <v>166851</v>
      </c>
      <c r="M56" s="274" t="s">
        <v>26</v>
      </c>
      <c r="N56" s="274" t="s">
        <v>25</v>
      </c>
      <c r="O56" s="284">
        <v>97.240639999999999</v>
      </c>
      <c r="P56" s="284">
        <v>24.24953</v>
      </c>
      <c r="Q56" s="285">
        <v>0</v>
      </c>
      <c r="R56" s="654">
        <v>14</v>
      </c>
      <c r="S56" s="654">
        <v>74</v>
      </c>
      <c r="T56" s="287">
        <f>IF(CampList[[#This Row],[HH]]&gt;0,CampList[[#This Row],[Total]]/CampList[[#This Row],[HH]],"NA")</f>
        <v>5.2857142857142856</v>
      </c>
      <c r="U56" s="276" t="s">
        <v>465</v>
      </c>
      <c r="V56" s="276" t="s">
        <v>1013</v>
      </c>
      <c r="W56" s="276" t="s">
        <v>508</v>
      </c>
      <c r="X56" s="276" t="s">
        <v>743</v>
      </c>
      <c r="Y56" s="421">
        <v>41122</v>
      </c>
      <c r="Z56" s="288" t="s">
        <v>462</v>
      </c>
      <c r="AA56" s="274" t="s">
        <v>776</v>
      </c>
      <c r="AB56" s="290">
        <v>43008</v>
      </c>
      <c r="AC56" s="290"/>
      <c r="AD56" s="291" t="s">
        <v>1345</v>
      </c>
      <c r="AE56" s="276" t="str">
        <f ca="1">IFERROR(OFFSET(DistanceToCamp[Nearest Town],MATCH(CampList[[#This Row],[CP_Pcode]],DistanceToCamp[CP_Pcode],0)-1,0,1,1),"")</f>
        <v>Bhamo Town</v>
      </c>
      <c r="AF56" s="292">
        <f ca="1">IFERROR(OFFSET(DistanceToCamp[distance],MATCH(CampList[[#This Row],[CP_Pcode]],DistanceToCamp[CP_Pcode],0)-1,0,1,1),"")</f>
        <v>0.87147615879849294</v>
      </c>
      <c r="AG56" s="293">
        <f ca="1">IFERROR(INT(CampList[[#This Row],[Distance]]/5)+1,"")</f>
        <v>1</v>
      </c>
      <c r="AI56" s="489"/>
      <c r="AJ56" s="489"/>
    </row>
    <row r="57" spans="2:36" s="203" customFormat="1" ht="15.75" customHeight="1" x14ac:dyDescent="0.25">
      <c r="B57" s="299" t="s">
        <v>460</v>
      </c>
      <c r="C57" s="275" t="s">
        <v>378</v>
      </c>
      <c r="D57" s="275" t="s">
        <v>479</v>
      </c>
      <c r="E57" s="275" t="s">
        <v>5</v>
      </c>
      <c r="F57" s="275" t="s">
        <v>483</v>
      </c>
      <c r="G57" s="275" t="s">
        <v>5</v>
      </c>
      <c r="H57" s="275" t="s">
        <v>484</v>
      </c>
      <c r="I57" s="275" t="s">
        <v>595</v>
      </c>
      <c r="J57" s="300" t="s">
        <v>596</v>
      </c>
      <c r="K57" s="275" t="s">
        <v>595</v>
      </c>
      <c r="L57" s="275">
        <v>166844</v>
      </c>
      <c r="M57" s="275" t="s">
        <v>20</v>
      </c>
      <c r="N57" s="275" t="s">
        <v>19</v>
      </c>
      <c r="O57" s="286">
        <v>97.315860000000001</v>
      </c>
      <c r="P57" s="286">
        <v>24.32638</v>
      </c>
      <c r="Q57" s="302"/>
      <c r="R57" s="417">
        <v>21</v>
      </c>
      <c r="S57" s="417">
        <v>113</v>
      </c>
      <c r="T57" s="287">
        <f>IF(CampList[[#This Row],[HH]]&gt;0,CampList[[#This Row],[Total]]/CampList[[#This Row],[HH]],"NA")</f>
        <v>5.3809523809523814</v>
      </c>
      <c r="U57" s="224" t="s">
        <v>465</v>
      </c>
      <c r="V57" s="276" t="s">
        <v>1013</v>
      </c>
      <c r="W57" s="224" t="s">
        <v>508</v>
      </c>
      <c r="X57" s="224" t="s">
        <v>743</v>
      </c>
      <c r="Y57" s="422">
        <v>40848</v>
      </c>
      <c r="Z57" s="302" t="s">
        <v>942</v>
      </c>
      <c r="AA57" s="275" t="s">
        <v>776</v>
      </c>
      <c r="AB57" s="290">
        <v>43008</v>
      </c>
      <c r="AC57" s="290"/>
      <c r="AD57" s="304" t="s">
        <v>1311</v>
      </c>
      <c r="AE57" s="305" t="str">
        <f ca="1">IFERROR(OFFSET(DistanceToCamp[Nearest Town],MATCH(CampList[[#This Row],[CP_Pcode]],DistanceToCamp[CP_Pcode],0)-1,0,1,1),"")</f>
        <v>Momauk Town</v>
      </c>
      <c r="AF57" s="292">
        <f ca="1">IFERROR(OFFSET(DistanceToCamp[distance],MATCH(CampList[[#This Row],[CP_Pcode]],DistanceToCamp[CP_Pcode],0)-1,0,1,1),"")</f>
        <v>8.3788619521763046</v>
      </c>
      <c r="AG57" s="306">
        <f ca="1">IFERROR(INT(CampList[[#This Row],[Distance]]/5)+1,"")</f>
        <v>2</v>
      </c>
      <c r="AI57" s="489"/>
      <c r="AJ57" s="489"/>
    </row>
    <row r="58" spans="2:36" s="203" customFormat="1" ht="15.75" customHeight="1" x14ac:dyDescent="0.25">
      <c r="B58" s="283" t="s">
        <v>460</v>
      </c>
      <c r="C58" s="274" t="s">
        <v>378</v>
      </c>
      <c r="D58" s="274" t="s">
        <v>479</v>
      </c>
      <c r="E58" s="274" t="s">
        <v>5</v>
      </c>
      <c r="F58" s="274" t="s">
        <v>483</v>
      </c>
      <c r="G58" s="274" t="s">
        <v>5</v>
      </c>
      <c r="H58" s="274" t="s">
        <v>484</v>
      </c>
      <c r="I58" s="274" t="s">
        <v>578</v>
      </c>
      <c r="J58" s="274" t="s">
        <v>579</v>
      </c>
      <c r="K58" s="274" t="s">
        <v>580</v>
      </c>
      <c r="L58" s="274" t="s">
        <v>581</v>
      </c>
      <c r="M58" s="274" t="s">
        <v>24</v>
      </c>
      <c r="N58" s="274" t="s">
        <v>23</v>
      </c>
      <c r="O58" s="284">
        <v>97.227789999999999</v>
      </c>
      <c r="P58" s="284">
        <v>24.29138</v>
      </c>
      <c r="Q58" s="285">
        <v>0</v>
      </c>
      <c r="R58" s="414">
        <v>20</v>
      </c>
      <c r="S58" s="654">
        <v>95</v>
      </c>
      <c r="T58" s="287">
        <f>IF(CampList[[#This Row],[HH]]&gt;0,CampList[[#This Row],[Total]]/CampList[[#This Row],[HH]],"NA")</f>
        <v>4.75</v>
      </c>
      <c r="U58" s="276" t="s">
        <v>465</v>
      </c>
      <c r="V58" s="276" t="s">
        <v>1013</v>
      </c>
      <c r="W58" s="276" t="s">
        <v>508</v>
      </c>
      <c r="X58" s="276" t="s">
        <v>743</v>
      </c>
      <c r="Y58" s="421">
        <v>41030</v>
      </c>
      <c r="Z58" s="288" t="s">
        <v>462</v>
      </c>
      <c r="AA58" s="274" t="s">
        <v>776</v>
      </c>
      <c r="AB58" s="290">
        <v>43008</v>
      </c>
      <c r="AC58" s="290"/>
      <c r="AD58" s="291" t="s">
        <v>1346</v>
      </c>
      <c r="AE58" s="276" t="str">
        <f ca="1">IFERROR(OFFSET(DistanceToCamp[Nearest Town],MATCH(CampList[[#This Row],[CP_Pcode]],DistanceToCamp[CP_Pcode],0)-1,0,1,1),"")</f>
        <v>Bhamo Town</v>
      </c>
      <c r="AF58" s="292">
        <f ca="1">IFERROR(OFFSET(DistanceToCamp[distance],MATCH(CampList[[#This Row],[CP_Pcode]],DistanceToCamp[CP_Pcode],0)-1,0,1,1),"")</f>
        <v>4.108228790802368</v>
      </c>
      <c r="AG58" s="293">
        <f ca="1">IFERROR(INT(CampList[[#This Row],[Distance]]/5)+1,"")</f>
        <v>1</v>
      </c>
      <c r="AI58" s="489"/>
      <c r="AJ58" s="489"/>
    </row>
    <row r="59" spans="2:36" s="203" customFormat="1" ht="15.75" hidden="1" customHeight="1" x14ac:dyDescent="0.25">
      <c r="B59" s="283" t="s">
        <v>777</v>
      </c>
      <c r="C59" s="274" t="s">
        <v>507</v>
      </c>
      <c r="D59" s="274" t="s">
        <v>490</v>
      </c>
      <c r="E59" s="274" t="s">
        <v>230</v>
      </c>
      <c r="F59" s="274" t="s">
        <v>491</v>
      </c>
      <c r="G59" s="274" t="s">
        <v>288</v>
      </c>
      <c r="H59" s="274" t="s">
        <v>503</v>
      </c>
      <c r="I59" s="274" t="s">
        <v>692</v>
      </c>
      <c r="J59" s="274" t="s">
        <v>693</v>
      </c>
      <c r="K59" s="274" t="s">
        <v>692</v>
      </c>
      <c r="L59" s="274">
        <v>208353</v>
      </c>
      <c r="M59" s="274" t="s">
        <v>293</v>
      </c>
      <c r="N59" s="274" t="s">
        <v>292</v>
      </c>
      <c r="O59" s="284"/>
      <c r="P59" s="284"/>
      <c r="Q59" s="302"/>
      <c r="R59" s="376"/>
      <c r="S59" s="377"/>
      <c r="T59" s="287" t="str">
        <f>IF(CampList[[#This Row],[HH]]&gt;0,CampList[[#This Row],[Total]]/CampList[[#This Row],[HH]],"NA")</f>
        <v>NA</v>
      </c>
      <c r="U59" s="276" t="s">
        <v>467</v>
      </c>
      <c r="V59" s="294" t="s">
        <v>1013</v>
      </c>
      <c r="W59" s="276" t="s">
        <v>508</v>
      </c>
      <c r="X59" s="294"/>
      <c r="Y59" s="310"/>
      <c r="Z59" s="311"/>
      <c r="AA59" s="308" t="s">
        <v>776</v>
      </c>
      <c r="AB59" s="290">
        <v>41701</v>
      </c>
      <c r="AC59" s="290"/>
      <c r="AD59" s="283" t="s">
        <v>874</v>
      </c>
      <c r="AE59" s="276" t="str">
        <f ca="1">IFERROR(OFFSET(DistanceToCamp[Nearest Town],MATCH(CampList[[#This Row],[CP_Pcode]],DistanceToCamp[CP_Pcode],0)-1,0,1,1),"")</f>
        <v/>
      </c>
      <c r="AF59" s="292" t="str">
        <f ca="1">IFERROR(OFFSET(DistanceToCamp[distance],MATCH(CampList[[#This Row],[CP_Pcode]],DistanceToCamp[CP_Pcode],0)-1,0,1,1),"")</f>
        <v/>
      </c>
      <c r="AG59" s="293" t="str">
        <f ca="1">IFERROR(INT(CampList[[#This Row],[Distance]]/5)+1,"")</f>
        <v/>
      </c>
      <c r="AI59" s="489"/>
      <c r="AJ59" s="489"/>
    </row>
    <row r="60" spans="2:36" s="203" customFormat="1" ht="15.75" customHeight="1" x14ac:dyDescent="0.25">
      <c r="B60" s="283" t="s">
        <v>460</v>
      </c>
      <c r="C60" s="274" t="s">
        <v>378</v>
      </c>
      <c r="D60" s="274" t="s">
        <v>479</v>
      </c>
      <c r="E60" s="274" t="s">
        <v>5</v>
      </c>
      <c r="F60" s="274" t="s">
        <v>483</v>
      </c>
      <c r="G60" s="274" t="s">
        <v>185</v>
      </c>
      <c r="H60" s="274" t="s">
        <v>487</v>
      </c>
      <c r="I60" s="291" t="s">
        <v>603</v>
      </c>
      <c r="J60" s="291" t="s">
        <v>604</v>
      </c>
      <c r="K60" s="291" t="s">
        <v>605</v>
      </c>
      <c r="L60" s="291" t="s">
        <v>606</v>
      </c>
      <c r="M60" s="274" t="s">
        <v>209</v>
      </c>
      <c r="N60" s="274" t="s">
        <v>208</v>
      </c>
      <c r="O60" s="284">
        <v>97.344359999999995</v>
      </c>
      <c r="P60" s="284">
        <v>24.250689999999999</v>
      </c>
      <c r="Q60" s="285">
        <v>0</v>
      </c>
      <c r="R60" s="414">
        <v>387</v>
      </c>
      <c r="S60" s="414">
        <v>1874</v>
      </c>
      <c r="T60" s="287">
        <f>IF(CampList[[#This Row],[HH]]&gt;0,CampList[[#This Row],[Total]]/CampList[[#This Row],[HH]],"NA")</f>
        <v>4.8423772609819125</v>
      </c>
      <c r="U60" s="276" t="s">
        <v>465</v>
      </c>
      <c r="V60" s="276" t="s">
        <v>1013</v>
      </c>
      <c r="W60" s="276" t="s">
        <v>508</v>
      </c>
      <c r="X60" s="276" t="s">
        <v>743</v>
      </c>
      <c r="Y60" s="421">
        <v>40695</v>
      </c>
      <c r="Z60" s="288" t="s">
        <v>424</v>
      </c>
      <c r="AA60" s="308" t="s">
        <v>776</v>
      </c>
      <c r="AB60" s="290">
        <v>43008</v>
      </c>
      <c r="AC60" s="290"/>
      <c r="AD60" s="283" t="s">
        <v>1381</v>
      </c>
      <c r="AE60" s="276" t="str">
        <f ca="1">IFERROR(OFFSET(DistanceToCamp[Nearest Town],MATCH(CampList[[#This Row],[CP_Pcode]],DistanceToCamp[CP_Pcode],0)-1,0,1,1),"")</f>
        <v>Momauk Town</v>
      </c>
      <c r="AF60" s="292">
        <f ca="1">IFERROR(OFFSET(DistanceToCamp[distance],MATCH(CampList[[#This Row],[CP_Pcode]],DistanceToCamp[CP_Pcode],0)-1,0,1,1),"")</f>
        <v>0.62513510418653162</v>
      </c>
      <c r="AG60" s="293">
        <f ca="1">IFERROR(INT(CampList[[#This Row],[Distance]]/5)+1,"")</f>
        <v>1</v>
      </c>
      <c r="AI60" s="489"/>
      <c r="AJ60" s="489"/>
    </row>
    <row r="61" spans="2:36" s="203" customFormat="1" ht="15.75" customHeight="1" x14ac:dyDescent="0.25">
      <c r="B61" s="299" t="s">
        <v>460</v>
      </c>
      <c r="C61" s="275" t="s">
        <v>507</v>
      </c>
      <c r="D61" s="275" t="s">
        <v>490</v>
      </c>
      <c r="E61" s="275" t="s">
        <v>230</v>
      </c>
      <c r="F61" s="275" t="s">
        <v>491</v>
      </c>
      <c r="G61" s="275" t="s">
        <v>288</v>
      </c>
      <c r="H61" s="275" t="s">
        <v>503</v>
      </c>
      <c r="I61" s="275" t="s">
        <v>692</v>
      </c>
      <c r="J61" s="300" t="s">
        <v>693</v>
      </c>
      <c r="K61" s="275" t="s">
        <v>692</v>
      </c>
      <c r="L61" s="275">
        <v>208353</v>
      </c>
      <c r="M61" s="275" t="s">
        <v>372</v>
      </c>
      <c r="N61" s="275" t="s">
        <v>294</v>
      </c>
      <c r="O61" s="286">
        <v>97.670360000000002</v>
      </c>
      <c r="P61" s="286">
        <v>23.828150000000001</v>
      </c>
      <c r="Q61" s="302">
        <v>751.8</v>
      </c>
      <c r="R61" s="286">
        <v>44</v>
      </c>
      <c r="S61" s="657">
        <v>218</v>
      </c>
      <c r="T61" s="287">
        <f>IF(CampList[[#This Row],[HH]]&gt;0,CampList[[#This Row],[Total]]/CampList[[#This Row],[HH]],"NA")</f>
        <v>4.9545454545454541</v>
      </c>
      <c r="U61" s="224" t="s">
        <v>465</v>
      </c>
      <c r="V61" s="276" t="s">
        <v>1013</v>
      </c>
      <c r="W61" s="224" t="s">
        <v>508</v>
      </c>
      <c r="X61" s="224" t="s">
        <v>743</v>
      </c>
      <c r="Y61" s="303">
        <v>40878</v>
      </c>
      <c r="Z61" s="302" t="s">
        <v>1066</v>
      </c>
      <c r="AA61" s="275" t="s">
        <v>776</v>
      </c>
      <c r="AB61" s="290">
        <v>43008</v>
      </c>
      <c r="AC61" s="290"/>
      <c r="AD61" s="304" t="s">
        <v>1569</v>
      </c>
      <c r="AE61" s="305" t="str">
        <f ca="1">IFERROR(OFFSET(DistanceToCamp[Nearest Town],MATCH(CampList[[#This Row],[CP_Pcode]],DistanceToCamp[CP_Pcode],0)-1,0,1,1),"")</f>
        <v>Namhkan Town</v>
      </c>
      <c r="AF61" s="292">
        <f ca="1">IFERROR(OFFSET(DistanceToCamp[distance],MATCH(CampList[[#This Row],[CP_Pcode]],DistanceToCamp[CP_Pcode],0)-1,0,1,1),"")</f>
        <v>1.5239325151406049</v>
      </c>
      <c r="AG61" s="306">
        <f ca="1">IFERROR(INT(CampList[[#This Row],[Distance]]/5)+1,"")</f>
        <v>1</v>
      </c>
      <c r="AI61" s="489"/>
      <c r="AJ61" s="489"/>
    </row>
    <row r="62" spans="2:36" s="203" customFormat="1" ht="15.75" hidden="1" customHeight="1" x14ac:dyDescent="0.25">
      <c r="B62" s="283" t="s">
        <v>777</v>
      </c>
      <c r="C62" s="274" t="s">
        <v>378</v>
      </c>
      <c r="D62" s="274" t="s">
        <v>479</v>
      </c>
      <c r="E62" s="274" t="s">
        <v>5</v>
      </c>
      <c r="F62" s="274" t="s">
        <v>483</v>
      </c>
      <c r="G62" s="274" t="s">
        <v>151</v>
      </c>
      <c r="H62" s="274" t="s">
        <v>493</v>
      </c>
      <c r="I62" s="291"/>
      <c r="J62" s="291"/>
      <c r="K62" s="291"/>
      <c r="L62" s="291"/>
      <c r="M62" s="274" t="s">
        <v>810</v>
      </c>
      <c r="N62" s="274" t="s">
        <v>808</v>
      </c>
      <c r="O62" s="284"/>
      <c r="P62" s="284"/>
      <c r="Q62" s="301"/>
      <c r="R62" s="376">
        <v>0</v>
      </c>
      <c r="S62" s="377">
        <v>0</v>
      </c>
      <c r="T62" s="287" t="str">
        <f>IF(CampList[[#This Row],[HH]]&gt;0,CampList[[#This Row],[Total]]/CampList[[#This Row],[HH]],"NA")</f>
        <v>NA</v>
      </c>
      <c r="U62" s="276" t="s">
        <v>465</v>
      </c>
      <c r="V62" s="294" t="s">
        <v>1013</v>
      </c>
      <c r="W62" s="276" t="s">
        <v>508</v>
      </c>
      <c r="X62" s="294"/>
      <c r="Y62" s="310"/>
      <c r="Z62" s="311"/>
      <c r="AA62" s="308" t="s">
        <v>776</v>
      </c>
      <c r="AB62" s="290">
        <v>41701</v>
      </c>
      <c r="AC62" s="290"/>
      <c r="AD62" s="283" t="s">
        <v>871</v>
      </c>
      <c r="AE62" s="276" t="str">
        <f ca="1">IFERROR(OFFSET(DistanceToCamp[Nearest Town],MATCH(CampList[[#This Row],[CP_Pcode]],DistanceToCamp[CP_Pcode],0)-1,0,1,1),"")</f>
        <v/>
      </c>
      <c r="AF62" s="292" t="str">
        <f ca="1">IFERROR(OFFSET(DistanceToCamp[distance],MATCH(CampList[[#This Row],[CP_Pcode]],DistanceToCamp[CP_Pcode],0)-1,0,1,1),"")</f>
        <v/>
      </c>
      <c r="AG62" s="293" t="str">
        <f ca="1">IFERROR(INT(CampList[[#This Row],[Distance]]/5)+1,"")</f>
        <v/>
      </c>
      <c r="AI62" s="489"/>
      <c r="AJ62" s="489"/>
    </row>
    <row r="63" spans="2:36" s="203" customFormat="1" ht="15.75" hidden="1" customHeight="1" x14ac:dyDescent="0.25">
      <c r="B63" s="283" t="s">
        <v>777</v>
      </c>
      <c r="C63" s="274" t="s">
        <v>378</v>
      </c>
      <c r="D63" s="274" t="s">
        <v>479</v>
      </c>
      <c r="E63" s="274" t="s">
        <v>5</v>
      </c>
      <c r="F63" s="274" t="s">
        <v>483</v>
      </c>
      <c r="G63" s="274" t="s">
        <v>151</v>
      </c>
      <c r="H63" s="274" t="s">
        <v>493</v>
      </c>
      <c r="I63" s="291"/>
      <c r="J63" s="291"/>
      <c r="K63" s="291"/>
      <c r="L63" s="291"/>
      <c r="M63" s="274" t="s">
        <v>805</v>
      </c>
      <c r="N63" s="274" t="s">
        <v>809</v>
      </c>
      <c r="O63" s="284"/>
      <c r="P63" s="284"/>
      <c r="Q63" s="301"/>
      <c r="R63" s="376">
        <v>0</v>
      </c>
      <c r="S63" s="377">
        <v>0</v>
      </c>
      <c r="T63" s="287" t="str">
        <f>IF(CampList[[#This Row],[HH]]&gt;0,CampList[[#This Row],[Total]]/CampList[[#This Row],[HH]],"NA")</f>
        <v>NA</v>
      </c>
      <c r="U63" s="276" t="s">
        <v>465</v>
      </c>
      <c r="V63" s="294" t="s">
        <v>1013</v>
      </c>
      <c r="W63" s="276" t="s">
        <v>12</v>
      </c>
      <c r="X63" s="294" t="s">
        <v>786</v>
      </c>
      <c r="Y63" s="310"/>
      <c r="Z63" s="311"/>
      <c r="AA63" s="308" t="s">
        <v>776</v>
      </c>
      <c r="AB63" s="290">
        <v>42090</v>
      </c>
      <c r="AC63" s="290"/>
      <c r="AD63" s="283" t="s">
        <v>1045</v>
      </c>
      <c r="AE63" s="276" t="str">
        <f ca="1">IFERROR(OFFSET(DistanceToCamp[Nearest Town],MATCH(CampList[[#This Row],[CP_Pcode]],DistanceToCamp[CP_Pcode],0)-1,0,1,1),"")</f>
        <v/>
      </c>
      <c r="AF63" s="292" t="str">
        <f ca="1">IFERROR(OFFSET(DistanceToCamp[distance],MATCH(CampList[[#This Row],[CP_Pcode]],DistanceToCamp[CP_Pcode],0)-1,0,1,1),"")</f>
        <v/>
      </c>
      <c r="AG63" s="293" t="str">
        <f ca="1">IFERROR(INT(CampList[[#This Row],[Distance]]/5)+1,"")</f>
        <v/>
      </c>
      <c r="AI63" s="489"/>
      <c r="AJ63" s="489"/>
    </row>
    <row r="64" spans="2:36" s="203" customFormat="1" ht="15.75" hidden="1" customHeight="1" x14ac:dyDescent="0.25">
      <c r="B64" s="283" t="s">
        <v>777</v>
      </c>
      <c r="C64" s="274" t="s">
        <v>378</v>
      </c>
      <c r="D64" s="274" t="s">
        <v>479</v>
      </c>
      <c r="E64" s="274" t="s">
        <v>5</v>
      </c>
      <c r="F64" s="274" t="s">
        <v>483</v>
      </c>
      <c r="G64" s="274" t="s">
        <v>185</v>
      </c>
      <c r="H64" s="274" t="s">
        <v>487</v>
      </c>
      <c r="I64" s="274" t="s">
        <v>737</v>
      </c>
      <c r="J64" s="274" t="s">
        <v>738</v>
      </c>
      <c r="K64" s="274" t="s">
        <v>737</v>
      </c>
      <c r="L64" s="274">
        <v>167086</v>
      </c>
      <c r="M64" s="274" t="s">
        <v>227</v>
      </c>
      <c r="N64" s="274" t="s">
        <v>226</v>
      </c>
      <c r="O64" s="284">
        <v>97.416826999999998</v>
      </c>
      <c r="P64" s="284">
        <v>24.492493</v>
      </c>
      <c r="Q64" s="285"/>
      <c r="R64" s="285"/>
      <c r="S64" s="302"/>
      <c r="T64" s="287" t="str">
        <f>IF(CampList[[#This Row],[HH]]&gt;0,CampList[[#This Row],[Total]]/CampList[[#This Row],[HH]],"NA")</f>
        <v>NA</v>
      </c>
      <c r="U64" s="276" t="s">
        <v>465</v>
      </c>
      <c r="V64" s="276" t="s">
        <v>1013</v>
      </c>
      <c r="W64" s="276" t="s">
        <v>12</v>
      </c>
      <c r="X64" s="276" t="s">
        <v>786</v>
      </c>
      <c r="Y64" s="421"/>
      <c r="Z64" s="288"/>
      <c r="AA64" s="308" t="s">
        <v>775</v>
      </c>
      <c r="AB64" s="290">
        <v>42927</v>
      </c>
      <c r="AC64" s="290"/>
      <c r="AD64" s="291" t="s">
        <v>1428</v>
      </c>
      <c r="AE64" s="276" t="str">
        <f ca="1">IFERROR(OFFSET(DistanceToCamp[Nearest Town],MATCH(CampList[[#This Row],[CP_Pcode]],DistanceToCamp[CP_Pcode],0)-1,0,1,1),"")</f>
        <v>Dawthponeyan  Town</v>
      </c>
      <c r="AF64" s="292">
        <f ca="1">IFERROR(OFFSET(DistanceToCamp[distance],MATCH(CampList[[#This Row],[CP_Pcode]],DistanceToCamp[CP_Pcode],0)-1,0,1,1),"")</f>
        <v>14.236592976936194</v>
      </c>
      <c r="AG64" s="293">
        <f ca="1">IFERROR(INT(CampList[[#This Row],[Distance]]/5)+1,"")</f>
        <v>3</v>
      </c>
      <c r="AI64" s="489">
        <v>10</v>
      </c>
      <c r="AJ64" s="489">
        <v>38</v>
      </c>
    </row>
    <row r="65" spans="2:36" s="203" customFormat="1" ht="15.75" customHeight="1" x14ac:dyDescent="0.25">
      <c r="B65" s="283" t="s">
        <v>460</v>
      </c>
      <c r="C65" s="274" t="s">
        <v>378</v>
      </c>
      <c r="D65" s="274" t="s">
        <v>479</v>
      </c>
      <c r="E65" s="274" t="s">
        <v>5</v>
      </c>
      <c r="F65" s="274" t="s">
        <v>483</v>
      </c>
      <c r="G65" s="274" t="s">
        <v>185</v>
      </c>
      <c r="H65" s="274" t="s">
        <v>487</v>
      </c>
      <c r="I65" s="291" t="s">
        <v>739</v>
      </c>
      <c r="J65" s="291" t="s">
        <v>740</v>
      </c>
      <c r="K65" s="291" t="s">
        <v>739</v>
      </c>
      <c r="L65" s="291">
        <v>167048</v>
      </c>
      <c r="M65" s="274" t="s">
        <v>213</v>
      </c>
      <c r="N65" s="274" t="s">
        <v>212</v>
      </c>
      <c r="O65" s="284">
        <v>97.407787999999996</v>
      </c>
      <c r="P65" s="284">
        <v>24.404876999999999</v>
      </c>
      <c r="Q65" s="302"/>
      <c r="R65" s="415">
        <v>44</v>
      </c>
      <c r="S65" s="416">
        <v>143</v>
      </c>
      <c r="T65" s="287">
        <f>IF(CampList[[#This Row],[HH]]&gt;0,CampList[[#This Row],[Total]]/CampList[[#This Row],[HH]],"NA")</f>
        <v>3.25</v>
      </c>
      <c r="U65" s="276" t="s">
        <v>465</v>
      </c>
      <c r="V65" s="276" t="s">
        <v>1013</v>
      </c>
      <c r="W65" s="315" t="s">
        <v>12</v>
      </c>
      <c r="X65" s="276" t="s">
        <v>786</v>
      </c>
      <c r="Y65" s="422"/>
      <c r="Z65" s="289"/>
      <c r="AA65" s="308" t="s">
        <v>775</v>
      </c>
      <c r="AB65" s="318">
        <v>42832</v>
      </c>
      <c r="AC65" s="318"/>
      <c r="AD65" s="283" t="s">
        <v>1264</v>
      </c>
      <c r="AE65" s="276" t="str">
        <f ca="1">IFERROR(OFFSET(DistanceToCamp[Nearest Town],MATCH(CampList[[#This Row],[CP_Pcode]],DistanceToCamp[CP_Pcode],0)-1,0,1,1),"")</f>
        <v>Momauk Town</v>
      </c>
      <c r="AF65" s="292">
        <f ca="1">IFERROR(OFFSET(DistanceToCamp[distance],MATCH(CampList[[#This Row],[CP_Pcode]],DistanceToCamp[CP_Pcode],0)-1,0,1,1),"")</f>
        <v>17.689123339899055</v>
      </c>
      <c r="AG65" s="293">
        <f ca="1">IFERROR(INT(CampList[[#This Row],[Distance]]/5)+1,"")</f>
        <v>4</v>
      </c>
      <c r="AI65" s="489"/>
      <c r="AJ65" s="489"/>
    </row>
    <row r="66" spans="2:36" s="203" customFormat="1" ht="15.75" customHeight="1" x14ac:dyDescent="0.25">
      <c r="B66" s="299" t="s">
        <v>460</v>
      </c>
      <c r="C66" s="275" t="s">
        <v>378</v>
      </c>
      <c r="D66" s="275" t="s">
        <v>479</v>
      </c>
      <c r="E66" s="275" t="s">
        <v>5</v>
      </c>
      <c r="F66" s="275" t="s">
        <v>483</v>
      </c>
      <c r="G66" s="275" t="s">
        <v>185</v>
      </c>
      <c r="H66" s="275" t="s">
        <v>487</v>
      </c>
      <c r="I66" s="275" t="s">
        <v>599</v>
      </c>
      <c r="J66" s="300" t="s">
        <v>600</v>
      </c>
      <c r="K66" s="275" t="s">
        <v>599</v>
      </c>
      <c r="L66" s="275">
        <v>167009</v>
      </c>
      <c r="M66" s="275" t="s">
        <v>202</v>
      </c>
      <c r="N66" s="275" t="s">
        <v>201</v>
      </c>
      <c r="O66" s="286">
        <v>97.325019999999995</v>
      </c>
      <c r="P66" s="286">
        <v>24.245100000000001</v>
      </c>
      <c r="Q66" s="302"/>
      <c r="R66" s="417">
        <v>265</v>
      </c>
      <c r="S66" s="417">
        <v>1181</v>
      </c>
      <c r="T66" s="287">
        <f>IF(CampList[[#This Row],[HH]]&gt;0,CampList[[#This Row],[Total]]/CampList[[#This Row],[HH]],"NA")</f>
        <v>4.4566037735849058</v>
      </c>
      <c r="U66" s="224" t="s">
        <v>465</v>
      </c>
      <c r="V66" s="276" t="s">
        <v>1013</v>
      </c>
      <c r="W66" s="224" t="s">
        <v>508</v>
      </c>
      <c r="X66" s="224" t="s">
        <v>743</v>
      </c>
      <c r="Y66" s="422">
        <v>41030</v>
      </c>
      <c r="Z66" s="302" t="s">
        <v>942</v>
      </c>
      <c r="AA66" s="275" t="s">
        <v>776</v>
      </c>
      <c r="AB66" s="290">
        <v>43008</v>
      </c>
      <c r="AC66" s="290"/>
      <c r="AD66" s="304" t="s">
        <v>1303</v>
      </c>
      <c r="AE66" s="305" t="str">
        <f ca="1">IFERROR(OFFSET(DistanceToCamp[Nearest Town],MATCH(CampList[[#This Row],[CP_Pcode]],DistanceToCamp[CP_Pcode],0)-1,0,1,1),"")</f>
        <v>Momauk Town</v>
      </c>
      <c r="AF66" s="292">
        <f ca="1">IFERROR(OFFSET(DistanceToCamp[distance],MATCH(CampList[[#This Row],[CP_Pcode]],DistanceToCamp[CP_Pcode],0)-1,0,1,1),"")</f>
        <v>2.4411071835305544</v>
      </c>
      <c r="AG66" s="306">
        <f ca="1">IFERROR(INT(CampList[[#This Row],[Distance]]/5)+1,"")</f>
        <v>1</v>
      </c>
      <c r="AI66" s="489"/>
      <c r="AJ66" s="489"/>
    </row>
    <row r="67" spans="2:36" s="203" customFormat="1" ht="15.75" hidden="1" customHeight="1" x14ac:dyDescent="0.25">
      <c r="B67" s="283" t="s">
        <v>777</v>
      </c>
      <c r="C67" s="274" t="s">
        <v>378</v>
      </c>
      <c r="D67" s="274" t="s">
        <v>479</v>
      </c>
      <c r="E67" s="274" t="s">
        <v>5</v>
      </c>
      <c r="F67" s="274" t="s">
        <v>483</v>
      </c>
      <c r="G67" s="274" t="s">
        <v>185</v>
      </c>
      <c r="H67" s="274" t="s">
        <v>487</v>
      </c>
      <c r="I67" s="291" t="s">
        <v>597</v>
      </c>
      <c r="J67" s="291" t="s">
        <v>598</v>
      </c>
      <c r="K67" s="291" t="s">
        <v>597</v>
      </c>
      <c r="L67" s="291">
        <v>167063</v>
      </c>
      <c r="M67" s="274" t="s">
        <v>204</v>
      </c>
      <c r="N67" s="274" t="s">
        <v>203</v>
      </c>
      <c r="O67" s="284">
        <v>97.321659999999994</v>
      </c>
      <c r="P67" s="284">
        <v>24.410008999999999</v>
      </c>
      <c r="Q67" s="302"/>
      <c r="R67" s="415"/>
      <c r="S67" s="416"/>
      <c r="T67" s="287" t="str">
        <f>IF(CampList[[#This Row],[HH]]&gt;0,CampList[[#This Row],[Total]]/CampList[[#This Row],[HH]],"NA")</f>
        <v>NA</v>
      </c>
      <c r="U67" s="276" t="s">
        <v>465</v>
      </c>
      <c r="V67" s="276" t="s">
        <v>1013</v>
      </c>
      <c r="W67" s="315" t="s">
        <v>12</v>
      </c>
      <c r="X67" s="276" t="s">
        <v>786</v>
      </c>
      <c r="Y67" s="422"/>
      <c r="Z67" s="289"/>
      <c r="AA67" s="308" t="s">
        <v>775</v>
      </c>
      <c r="AB67" s="290">
        <v>42927</v>
      </c>
      <c r="AC67" s="290"/>
      <c r="AD67" s="283" t="s">
        <v>1429</v>
      </c>
      <c r="AE67" s="276" t="str">
        <f ca="1">IFERROR(OFFSET(DistanceToCamp[Nearest Town],MATCH(CampList[[#This Row],[CP_Pcode]],DistanceToCamp[CP_Pcode],0)-1,0,1,1),"")</f>
        <v>Momauk Town</v>
      </c>
      <c r="AF67" s="292">
        <f ca="1">IFERROR(OFFSET(DistanceToCamp[distance],MATCH(CampList[[#This Row],[CP_Pcode]],DistanceToCamp[CP_Pcode],0)-1,0,1,1),"")</f>
        <v>17.282528446236295</v>
      </c>
      <c r="AG67" s="293">
        <f ca="1">IFERROR(INT(CampList[[#This Row],[Distance]]/5)+1,"")</f>
        <v>4</v>
      </c>
      <c r="AI67" s="489">
        <v>28</v>
      </c>
      <c r="AJ67" s="489">
        <v>136</v>
      </c>
    </row>
    <row r="68" spans="2:36" s="203" customFormat="1" ht="15.75" hidden="1" customHeight="1" x14ac:dyDescent="0.25">
      <c r="B68" s="283" t="s">
        <v>777</v>
      </c>
      <c r="C68" s="274" t="s">
        <v>378</v>
      </c>
      <c r="D68" s="274" t="s">
        <v>479</v>
      </c>
      <c r="E68" s="274" t="s">
        <v>5</v>
      </c>
      <c r="F68" s="274" t="s">
        <v>483</v>
      </c>
      <c r="G68" s="274" t="s">
        <v>185</v>
      </c>
      <c r="H68" s="274" t="s">
        <v>487</v>
      </c>
      <c r="I68" s="291" t="s">
        <v>1141</v>
      </c>
      <c r="J68" s="291" t="s">
        <v>1142</v>
      </c>
      <c r="K68" s="291" t="s">
        <v>1141</v>
      </c>
      <c r="L68" s="307">
        <v>167078</v>
      </c>
      <c r="M68" s="274" t="s">
        <v>200</v>
      </c>
      <c r="N68" s="274" t="s">
        <v>199</v>
      </c>
      <c r="O68" s="284">
        <v>97.409474000000003</v>
      </c>
      <c r="P68" s="284">
        <v>24.441697000000001</v>
      </c>
      <c r="Q68" s="302"/>
      <c r="R68" s="414"/>
      <c r="S68" s="414"/>
      <c r="T68" s="287" t="str">
        <f>IF(CampList[[#This Row],[HH]]&gt;0,CampList[[#This Row],[Total]]/CampList[[#This Row],[HH]],"NA")</f>
        <v>NA</v>
      </c>
      <c r="U68" s="276" t="s">
        <v>465</v>
      </c>
      <c r="V68" s="276" t="s">
        <v>1013</v>
      </c>
      <c r="W68" s="315" t="s">
        <v>12</v>
      </c>
      <c r="X68" s="276" t="s">
        <v>786</v>
      </c>
      <c r="Y68" s="422"/>
      <c r="Z68" s="289"/>
      <c r="AA68" s="308" t="s">
        <v>775</v>
      </c>
      <c r="AB68" s="290">
        <v>42927</v>
      </c>
      <c r="AC68" s="290"/>
      <c r="AD68" s="283" t="s">
        <v>1430</v>
      </c>
      <c r="AE68" s="276" t="str">
        <f ca="1">IFERROR(OFFSET(DistanceToCamp[Nearest Town],MATCH(CampList[[#This Row],[CP_Pcode]],DistanceToCamp[CP_Pcode],0)-1,0,1,1),"")</f>
        <v>Dawthponeyan  Town</v>
      </c>
      <c r="AF68" s="292">
        <f ca="1">IFERROR(OFFSET(DistanceToCamp[distance],MATCH(CampList[[#This Row],[CP_Pcode]],DistanceToCamp[CP_Pcode],0)-1,0,1,1),"")</f>
        <v>19.860265975801305</v>
      </c>
      <c r="AG68" s="293">
        <f ca="1">IFERROR(INT(CampList[[#This Row],[Distance]]/5)+1,"")</f>
        <v>4</v>
      </c>
      <c r="AI68" s="489">
        <v>49</v>
      </c>
      <c r="AJ68" s="489">
        <v>300</v>
      </c>
    </row>
    <row r="69" spans="2:36" s="203" customFormat="1" ht="15.75" hidden="1" customHeight="1" x14ac:dyDescent="0.25">
      <c r="B69" s="283" t="s">
        <v>777</v>
      </c>
      <c r="C69" s="274" t="s">
        <v>378</v>
      </c>
      <c r="D69" s="274" t="s">
        <v>479</v>
      </c>
      <c r="E69" s="274" t="s">
        <v>5</v>
      </c>
      <c r="F69" s="274" t="s">
        <v>483</v>
      </c>
      <c r="G69" s="274" t="s">
        <v>185</v>
      </c>
      <c r="H69" s="274" t="s">
        <v>487</v>
      </c>
      <c r="I69" s="274" t="s">
        <v>646</v>
      </c>
      <c r="J69" s="274" t="s">
        <v>647</v>
      </c>
      <c r="K69" s="274" t="s">
        <v>648</v>
      </c>
      <c r="L69" s="274">
        <v>167242</v>
      </c>
      <c r="M69" s="274" t="s">
        <v>221</v>
      </c>
      <c r="N69" s="274" t="s">
        <v>220</v>
      </c>
      <c r="O69" s="284">
        <v>97.429860000000005</v>
      </c>
      <c r="P69" s="284">
        <v>24.630859999999998</v>
      </c>
      <c r="Q69" s="285"/>
      <c r="R69" s="285"/>
      <c r="S69" s="302"/>
      <c r="T69" s="287" t="str">
        <f>IF(CampList[[#This Row],[HH]]&gt;0,CampList[[#This Row],[Total]]/CampList[[#This Row],[HH]],"NA")</f>
        <v>NA</v>
      </c>
      <c r="U69" s="276" t="s">
        <v>465</v>
      </c>
      <c r="V69" s="276" t="s">
        <v>1013</v>
      </c>
      <c r="W69" s="276" t="s">
        <v>12</v>
      </c>
      <c r="X69" s="276" t="s">
        <v>786</v>
      </c>
      <c r="Y69" s="421"/>
      <c r="Z69" s="288"/>
      <c r="AA69" s="308" t="s">
        <v>775</v>
      </c>
      <c r="AB69" s="290">
        <v>42927</v>
      </c>
      <c r="AC69" s="290"/>
      <c r="AD69" s="291" t="s">
        <v>1431</v>
      </c>
      <c r="AE69" s="276" t="str">
        <f ca="1">IFERROR(OFFSET(DistanceToCamp[Nearest Town],MATCH(CampList[[#This Row],[CP_Pcode]],DistanceToCamp[CP_Pcode],0)-1,0,1,1),"")</f>
        <v>Dawthponeyan  Town</v>
      </c>
      <c r="AF69" s="292">
        <f ca="1">IFERROR(OFFSET(DistanceToCamp[distance],MATCH(CampList[[#This Row],[CP_Pcode]],DistanceToCamp[CP_Pcode],0)-1,0,1,1),"")</f>
        <v>3.6887624513681017</v>
      </c>
      <c r="AG69" s="293">
        <f ca="1">IFERROR(INT(CampList[[#This Row],[Distance]]/5)+1,"")</f>
        <v>1</v>
      </c>
      <c r="AI69" s="489">
        <v>39</v>
      </c>
      <c r="AJ69" s="489">
        <v>176</v>
      </c>
    </row>
    <row r="70" spans="2:36" s="203" customFormat="1" ht="15.75" customHeight="1" x14ac:dyDescent="0.25">
      <c r="B70" s="283" t="s">
        <v>460</v>
      </c>
      <c r="C70" s="274" t="s">
        <v>378</v>
      </c>
      <c r="D70" s="274" t="s">
        <v>479</v>
      </c>
      <c r="E70" s="274" t="s">
        <v>5</v>
      </c>
      <c r="F70" s="274" t="s">
        <v>483</v>
      </c>
      <c r="G70" s="274" t="s">
        <v>151</v>
      </c>
      <c r="H70" s="274" t="s">
        <v>493</v>
      </c>
      <c r="I70" s="291" t="s">
        <v>591</v>
      </c>
      <c r="J70" s="291" t="s">
        <v>592</v>
      </c>
      <c r="K70" s="291" t="s">
        <v>593</v>
      </c>
      <c r="L70" s="291" t="s">
        <v>594</v>
      </c>
      <c r="M70" s="274" t="s">
        <v>152</v>
      </c>
      <c r="N70" s="274" t="s">
        <v>150</v>
      </c>
      <c r="O70" s="284">
        <v>97.291820000000001</v>
      </c>
      <c r="P70" s="284">
        <v>24.129059999999999</v>
      </c>
      <c r="Q70" s="285">
        <v>0</v>
      </c>
      <c r="R70" s="414">
        <v>187</v>
      </c>
      <c r="S70" s="414">
        <v>838</v>
      </c>
      <c r="T70" s="287">
        <f>IF(CampList[[#This Row],[HH]]&gt;0,CampList[[#This Row],[Total]]/CampList[[#This Row],[HH]],"NA")</f>
        <v>4.4812834224598932</v>
      </c>
      <c r="U70" s="276" t="s">
        <v>465</v>
      </c>
      <c r="V70" s="276" t="s">
        <v>1013</v>
      </c>
      <c r="W70" s="276" t="s">
        <v>508</v>
      </c>
      <c r="X70" s="276" t="s">
        <v>743</v>
      </c>
      <c r="Y70" s="421">
        <v>41579</v>
      </c>
      <c r="Z70" s="288" t="s">
        <v>424</v>
      </c>
      <c r="AA70" s="308" t="s">
        <v>776</v>
      </c>
      <c r="AB70" s="290">
        <v>43008</v>
      </c>
      <c r="AC70" s="290"/>
      <c r="AD70" s="283" t="s">
        <v>1382</v>
      </c>
      <c r="AE70" s="276" t="str">
        <f ca="1">IFERROR(OFFSET(DistanceToCamp[Nearest Town],MATCH(CampList[[#This Row],[CP_Pcode]],DistanceToCamp[CP_Pcode],0)-1,0,1,1),"")</f>
        <v>Mansi Town</v>
      </c>
      <c r="AF70" s="292">
        <f ca="1">IFERROR(OFFSET(DistanceToCamp[distance],MATCH(CampList[[#This Row],[CP_Pcode]],DistanceToCamp[CP_Pcode],0)-1,0,1,1),"")</f>
        <v>1.0576516850656514</v>
      </c>
      <c r="AG70" s="293">
        <f ca="1">IFERROR(INT(CampList[[#This Row],[Distance]]/5)+1,"")</f>
        <v>1</v>
      </c>
      <c r="AI70" s="489"/>
      <c r="AJ70" s="489"/>
    </row>
    <row r="71" spans="2:36" s="203" customFormat="1" ht="15.75" customHeight="1" x14ac:dyDescent="0.25">
      <c r="B71" s="308" t="s">
        <v>460</v>
      </c>
      <c r="C71" s="274" t="s">
        <v>378</v>
      </c>
      <c r="D71" s="274" t="s">
        <v>479</v>
      </c>
      <c r="E71" s="274" t="s">
        <v>5</v>
      </c>
      <c r="F71" s="274" t="s">
        <v>483</v>
      </c>
      <c r="G71" s="274" t="s">
        <v>301</v>
      </c>
      <c r="H71" s="274" t="s">
        <v>494</v>
      </c>
      <c r="I71" s="274" t="s">
        <v>562</v>
      </c>
      <c r="J71" s="274" t="s">
        <v>563</v>
      </c>
      <c r="K71" s="274" t="s">
        <v>562</v>
      </c>
      <c r="L71" s="274" t="s">
        <v>564</v>
      </c>
      <c r="M71" s="274" t="s">
        <v>305</v>
      </c>
      <c r="N71" s="274" t="s">
        <v>304</v>
      </c>
      <c r="O71" s="284">
        <v>96.807353000000006</v>
      </c>
      <c r="P71" s="284">
        <v>24.200361000000001</v>
      </c>
      <c r="Q71" s="285">
        <v>0</v>
      </c>
      <c r="R71" s="414">
        <v>86</v>
      </c>
      <c r="S71" s="654">
        <v>309</v>
      </c>
      <c r="T71" s="287">
        <f>IF(CampList[[#This Row],[HH]]&gt;0,CampList[[#This Row],[Total]]/CampList[[#This Row],[HH]],"NA")</f>
        <v>3.5930232558139537</v>
      </c>
      <c r="U71" s="276" t="s">
        <v>465</v>
      </c>
      <c r="V71" s="276" t="s">
        <v>1013</v>
      </c>
      <c r="W71" s="276" t="s">
        <v>508</v>
      </c>
      <c r="X71" s="276" t="s">
        <v>743</v>
      </c>
      <c r="Y71" s="421">
        <v>40725</v>
      </c>
      <c r="Z71" s="288" t="s">
        <v>424</v>
      </c>
      <c r="AA71" s="274" t="s">
        <v>776</v>
      </c>
      <c r="AB71" s="290">
        <v>43008</v>
      </c>
      <c r="AC71" s="290"/>
      <c r="AD71" s="291" t="s">
        <v>1383</v>
      </c>
      <c r="AE71" s="276" t="str">
        <f ca="1">IFERROR(OFFSET(DistanceToCamp[Nearest Town],MATCH(CampList[[#This Row],[CP_Pcode]],DistanceToCamp[CP_Pcode],0)-1,0,1,1),"")</f>
        <v>Shwegu Town</v>
      </c>
      <c r="AF71" s="292">
        <f ca="1">IFERROR(OFFSET(DistanceToCamp[distance],MATCH(CampList[[#This Row],[CP_Pcode]],DistanceToCamp[CP_Pcode],0)-1,0,1,1),"")</f>
        <v>0.74396039478864395</v>
      </c>
      <c r="AG71" s="293">
        <f ca="1">IFERROR(INT(CampList[[#This Row],[Distance]]/5)+1,"")</f>
        <v>1</v>
      </c>
      <c r="AI71" s="489"/>
      <c r="AJ71" s="489"/>
    </row>
    <row r="72" spans="2:36" s="203" customFormat="1" ht="15.75" customHeight="1" x14ac:dyDescent="0.25">
      <c r="B72" s="313" t="s">
        <v>460</v>
      </c>
      <c r="C72" s="275" t="s">
        <v>378</v>
      </c>
      <c r="D72" s="275" t="s">
        <v>479</v>
      </c>
      <c r="E72" s="275" t="s">
        <v>5</v>
      </c>
      <c r="F72" s="275" t="s">
        <v>483</v>
      </c>
      <c r="G72" s="275" t="s">
        <v>301</v>
      </c>
      <c r="H72" s="275" t="s">
        <v>494</v>
      </c>
      <c r="I72" s="275" t="s">
        <v>562</v>
      </c>
      <c r="J72" s="300" t="s">
        <v>563</v>
      </c>
      <c r="K72" s="275" t="s">
        <v>562</v>
      </c>
      <c r="L72" s="275" t="s">
        <v>564</v>
      </c>
      <c r="M72" s="275" t="s">
        <v>307</v>
      </c>
      <c r="N72" s="275" t="s">
        <v>306</v>
      </c>
      <c r="O72" s="286">
        <v>96.807353000000006</v>
      </c>
      <c r="P72" s="286">
        <v>24.200367</v>
      </c>
      <c r="Q72" s="302"/>
      <c r="R72" s="417">
        <v>46</v>
      </c>
      <c r="S72" s="417">
        <v>177</v>
      </c>
      <c r="T72" s="287">
        <f>IF(CampList[[#This Row],[HH]]&gt;0,CampList[[#This Row],[Total]]/CampList[[#This Row],[HH]],"NA")</f>
        <v>3.847826086956522</v>
      </c>
      <c r="U72" s="224" t="s">
        <v>465</v>
      </c>
      <c r="V72" s="276" t="s">
        <v>1013</v>
      </c>
      <c r="W72" s="224" t="s">
        <v>508</v>
      </c>
      <c r="X72" s="224" t="s">
        <v>743</v>
      </c>
      <c r="Y72" s="422">
        <v>40725</v>
      </c>
      <c r="Z72" s="302" t="s">
        <v>942</v>
      </c>
      <c r="AA72" s="275" t="s">
        <v>776</v>
      </c>
      <c r="AB72" s="290">
        <v>43008</v>
      </c>
      <c r="AC72" s="290"/>
      <c r="AD72" s="304" t="s">
        <v>1304</v>
      </c>
      <c r="AE72" s="305" t="str">
        <f ca="1">IFERROR(OFFSET(DistanceToCamp[Nearest Town],MATCH(CampList[[#This Row],[CP_Pcode]],DistanceToCamp[CP_Pcode],0)-1,0,1,1),"")</f>
        <v>Shwegu Town</v>
      </c>
      <c r="AF72" s="292">
        <f ca="1">IFERROR(OFFSET(DistanceToCamp[distance],MATCH(CampList[[#This Row],[CP_Pcode]],DistanceToCamp[CP_Pcode],0)-1,0,1,1),"")</f>
        <v>0.74330366237812662</v>
      </c>
      <c r="AG72" s="306">
        <f ca="1">IFERROR(INT(CampList[[#This Row],[Distance]]/5)+1,"")</f>
        <v>1</v>
      </c>
      <c r="AI72" s="489"/>
      <c r="AJ72" s="489"/>
    </row>
    <row r="73" spans="2:36" s="203" customFormat="1" ht="15.75" customHeight="1" x14ac:dyDescent="0.25">
      <c r="B73" s="299" t="s">
        <v>460</v>
      </c>
      <c r="C73" s="275" t="s">
        <v>378</v>
      </c>
      <c r="D73" s="275" t="s">
        <v>479</v>
      </c>
      <c r="E73" s="275" t="s">
        <v>5</v>
      </c>
      <c r="F73" s="275" t="s">
        <v>483</v>
      </c>
      <c r="G73" s="275" t="s">
        <v>185</v>
      </c>
      <c r="H73" s="275" t="s">
        <v>487</v>
      </c>
      <c r="I73" s="275" t="s">
        <v>694</v>
      </c>
      <c r="J73" s="300" t="s">
        <v>695</v>
      </c>
      <c r="K73" s="316" t="s">
        <v>1128</v>
      </c>
      <c r="L73" s="316" t="s">
        <v>1129</v>
      </c>
      <c r="M73" s="275" t="s">
        <v>223</v>
      </c>
      <c r="N73" s="275" t="s">
        <v>222</v>
      </c>
      <c r="O73" s="286">
        <v>97.724566999999993</v>
      </c>
      <c r="P73" s="286">
        <v>24.205417000000001</v>
      </c>
      <c r="Q73" s="302"/>
      <c r="R73" s="417">
        <v>129</v>
      </c>
      <c r="S73" s="417">
        <v>640</v>
      </c>
      <c r="T73" s="287">
        <f>IF(CampList[[#This Row],[HH]]&gt;0,CampList[[#This Row],[Total]]/CampList[[#This Row],[HH]],"NA")</f>
        <v>4.9612403100775193</v>
      </c>
      <c r="U73" s="224" t="s">
        <v>465</v>
      </c>
      <c r="V73" s="276" t="s">
        <v>1013</v>
      </c>
      <c r="W73" s="224" t="s">
        <v>508</v>
      </c>
      <c r="X73" s="224" t="s">
        <v>743</v>
      </c>
      <c r="Y73" s="422">
        <v>40848</v>
      </c>
      <c r="Z73" s="302" t="s">
        <v>942</v>
      </c>
      <c r="AA73" s="275" t="s">
        <v>776</v>
      </c>
      <c r="AB73" s="290">
        <v>43008</v>
      </c>
      <c r="AC73" s="290"/>
      <c r="AD73" s="304" t="s">
        <v>1305</v>
      </c>
      <c r="AE73" s="305" t="str">
        <f ca="1">IFERROR(OFFSET(DistanceToCamp[Nearest Town],MATCH(CampList[[#This Row],[CP_Pcode]],DistanceToCamp[CP_Pcode],0)-1,0,1,1),"")</f>
        <v>Lwegel Town</v>
      </c>
      <c r="AF73" s="292">
        <f ca="1">IFERROR(OFFSET(DistanceToCamp[distance],MATCH(CampList[[#This Row],[CP_Pcode]],DistanceToCamp[CP_Pcode],0)-1,0,1,1),"")</f>
        <v>0.77978735578277303</v>
      </c>
      <c r="AG73" s="306">
        <f ca="1">IFERROR(INT(CampList[[#This Row],[Distance]]/5)+1,"")</f>
        <v>1</v>
      </c>
      <c r="AI73" s="489"/>
      <c r="AJ73" s="489"/>
    </row>
    <row r="74" spans="2:36" s="203" customFormat="1" ht="15.75" customHeight="1" x14ac:dyDescent="0.25">
      <c r="B74" s="283" t="s">
        <v>460</v>
      </c>
      <c r="C74" s="274" t="s">
        <v>378</v>
      </c>
      <c r="D74" s="274" t="s">
        <v>479</v>
      </c>
      <c r="E74" s="274" t="s">
        <v>5</v>
      </c>
      <c r="F74" s="274" t="s">
        <v>483</v>
      </c>
      <c r="G74" s="274" t="s">
        <v>185</v>
      </c>
      <c r="H74" s="274" t="s">
        <v>487</v>
      </c>
      <c r="I74" s="291" t="s">
        <v>694</v>
      </c>
      <c r="J74" s="291" t="s">
        <v>695</v>
      </c>
      <c r="K74" s="291" t="s">
        <v>699</v>
      </c>
      <c r="L74" s="291" t="s">
        <v>700</v>
      </c>
      <c r="M74" s="274" t="s">
        <v>190</v>
      </c>
      <c r="N74" s="274" t="s">
        <v>189</v>
      </c>
      <c r="O74" s="284">
        <v>97.717133000000004</v>
      </c>
      <c r="P74" s="284">
        <v>24.200433</v>
      </c>
      <c r="Q74" s="285">
        <v>0</v>
      </c>
      <c r="R74" s="414">
        <v>199</v>
      </c>
      <c r="S74" s="653">
        <v>1105</v>
      </c>
      <c r="T74" s="287">
        <f>IF(CampList[[#This Row],[HH]]&gt;0,CampList[[#This Row],[Total]]/CampList[[#This Row],[HH]],"NA")</f>
        <v>5.5527638190954773</v>
      </c>
      <c r="U74" s="276" t="s">
        <v>465</v>
      </c>
      <c r="V74" s="276" t="s">
        <v>1013</v>
      </c>
      <c r="W74" s="276" t="s">
        <v>508</v>
      </c>
      <c r="X74" s="276" t="s">
        <v>743</v>
      </c>
      <c r="Y74" s="421">
        <v>41000</v>
      </c>
      <c r="Z74" s="288" t="s">
        <v>424</v>
      </c>
      <c r="AA74" s="308" t="s">
        <v>776</v>
      </c>
      <c r="AB74" s="290">
        <v>43008</v>
      </c>
      <c r="AC74" s="290"/>
      <c r="AD74" s="283" t="s">
        <v>1384</v>
      </c>
      <c r="AE74" s="276" t="str">
        <f ca="1">IFERROR(OFFSET(DistanceToCamp[Nearest Town],MATCH(CampList[[#This Row],[CP_Pcode]],DistanceToCamp[CP_Pcode],0)-1,0,1,1),"")</f>
        <v>Lwegel Town</v>
      </c>
      <c r="AF74" s="292">
        <f ca="1">IFERROR(OFFSET(DistanceToCamp[distance],MATCH(CampList[[#This Row],[CP_Pcode]],DistanceToCamp[CP_Pcode],0)-1,0,1,1),"")</f>
        <v>0.38934692601696641</v>
      </c>
      <c r="AG74" s="293">
        <f ca="1">IFERROR(INT(CampList[[#This Row],[Distance]]/5)+1,"")</f>
        <v>1</v>
      </c>
      <c r="AI74" s="489"/>
      <c r="AJ74" s="489"/>
    </row>
    <row r="75" spans="2:36" s="203" customFormat="1" ht="15.75" customHeight="1" x14ac:dyDescent="0.25">
      <c r="B75" s="283" t="s">
        <v>460</v>
      </c>
      <c r="C75" s="274" t="s">
        <v>378</v>
      </c>
      <c r="D75" s="274" t="s">
        <v>479</v>
      </c>
      <c r="E75" s="274" t="s">
        <v>5</v>
      </c>
      <c r="F75" s="274" t="s">
        <v>483</v>
      </c>
      <c r="G75" s="274" t="s">
        <v>185</v>
      </c>
      <c r="H75" s="274" t="s">
        <v>487</v>
      </c>
      <c r="I75" s="291" t="s">
        <v>694</v>
      </c>
      <c r="J75" s="291" t="s">
        <v>695</v>
      </c>
      <c r="K75" s="316" t="s">
        <v>1128</v>
      </c>
      <c r="L75" s="316" t="s">
        <v>1129</v>
      </c>
      <c r="M75" s="274" t="s">
        <v>186</v>
      </c>
      <c r="N75" s="274" t="s">
        <v>184</v>
      </c>
      <c r="O75" s="284">
        <v>97.718582999999995</v>
      </c>
      <c r="P75" s="284">
        <v>24.200972</v>
      </c>
      <c r="Q75" s="302"/>
      <c r="R75" s="414">
        <v>40</v>
      </c>
      <c r="S75" s="414">
        <v>241</v>
      </c>
      <c r="T75" s="287">
        <f>IF(CampList[[#This Row],[HH]]&gt;0,CampList[[#This Row],[Total]]/CampList[[#This Row],[HH]],"NA")</f>
        <v>6.0250000000000004</v>
      </c>
      <c r="U75" s="276" t="s">
        <v>465</v>
      </c>
      <c r="V75" s="276" t="s">
        <v>1013</v>
      </c>
      <c r="W75" s="276" t="s">
        <v>508</v>
      </c>
      <c r="X75" s="276" t="s">
        <v>743</v>
      </c>
      <c r="Y75" s="422">
        <v>41030</v>
      </c>
      <c r="Z75" s="288" t="s">
        <v>424</v>
      </c>
      <c r="AA75" s="308" t="s">
        <v>776</v>
      </c>
      <c r="AB75" s="290">
        <v>43008</v>
      </c>
      <c r="AC75" s="290"/>
      <c r="AD75" s="283" t="s">
        <v>1379</v>
      </c>
      <c r="AE75" s="276" t="str">
        <f ca="1">IFERROR(OFFSET(DistanceToCamp[Nearest Town],MATCH(CampList[[#This Row],[CP_Pcode]],DistanceToCamp[CP_Pcode],0)-1,0,1,1),"")</f>
        <v>Lwegel Town</v>
      </c>
      <c r="AF75" s="292">
        <f ca="1">IFERROR(OFFSET(DistanceToCamp[distance],MATCH(CampList[[#This Row],[CP_Pcode]],DistanceToCamp[CP_Pcode],0)-1,0,1,1),"")</f>
        <v>0.28829825866869707</v>
      </c>
      <c r="AG75" s="293">
        <f ca="1">IFERROR(INT(CampList[[#This Row],[Distance]]/5)+1,"")</f>
        <v>1</v>
      </c>
      <c r="AI75" s="489"/>
      <c r="AJ75" s="489"/>
    </row>
    <row r="76" spans="2:36" s="203" customFormat="1" ht="15.75" customHeight="1" x14ac:dyDescent="0.25">
      <c r="B76" s="283" t="s">
        <v>460</v>
      </c>
      <c r="C76" s="274" t="s">
        <v>378</v>
      </c>
      <c r="D76" s="274" t="s">
        <v>479</v>
      </c>
      <c r="E76" s="274" t="s">
        <v>5</v>
      </c>
      <c r="F76" s="274" t="s">
        <v>483</v>
      </c>
      <c r="G76" s="274" t="s">
        <v>185</v>
      </c>
      <c r="H76" s="274" t="s">
        <v>487</v>
      </c>
      <c r="I76" s="274" t="s">
        <v>694</v>
      </c>
      <c r="J76" s="274" t="s">
        <v>1061</v>
      </c>
      <c r="K76" s="316" t="s">
        <v>699</v>
      </c>
      <c r="L76" s="316" t="s">
        <v>700</v>
      </c>
      <c r="M76" s="274" t="s">
        <v>229</v>
      </c>
      <c r="N76" s="274" t="s">
        <v>228</v>
      </c>
      <c r="O76" s="284">
        <v>97.724483000000006</v>
      </c>
      <c r="P76" s="284">
        <v>24.205417000000001</v>
      </c>
      <c r="Q76" s="285">
        <v>0</v>
      </c>
      <c r="R76" s="414">
        <v>49</v>
      </c>
      <c r="S76" s="414">
        <v>300</v>
      </c>
      <c r="T76" s="287">
        <f>IF(CampList[[#This Row],[HH]]&gt;0,CampList[[#This Row],[Total]]/CampList[[#This Row],[HH]],"NA")</f>
        <v>6.1224489795918364</v>
      </c>
      <c r="U76" s="276" t="s">
        <v>465</v>
      </c>
      <c r="V76" s="276" t="s">
        <v>1013</v>
      </c>
      <c r="W76" s="276" t="s">
        <v>508</v>
      </c>
      <c r="X76" s="276" t="s">
        <v>743</v>
      </c>
      <c r="Y76" s="421">
        <v>41122</v>
      </c>
      <c r="Z76" s="288" t="s">
        <v>424</v>
      </c>
      <c r="AA76" s="274" t="s">
        <v>776</v>
      </c>
      <c r="AB76" s="290">
        <v>43008</v>
      </c>
      <c r="AC76" s="290"/>
      <c r="AD76" s="291" t="s">
        <v>1381</v>
      </c>
      <c r="AE76" s="276" t="str">
        <f ca="1">IFERROR(OFFSET(DistanceToCamp[Nearest Town],MATCH(CampList[[#This Row],[CP_Pcode]],DistanceToCamp[CP_Pcode],0)-1,0,1,1),"")</f>
        <v>Lwegel Town</v>
      </c>
      <c r="AF76" s="292">
        <f ca="1">IFERROR(OFFSET(DistanceToCamp[distance],MATCH(CampList[[#This Row],[CP_Pcode]],DistanceToCamp[CP_Pcode],0)-1,0,1,1),"")</f>
        <v>0.77561767807574999</v>
      </c>
      <c r="AG76" s="293">
        <f ca="1">IFERROR(INT(CampList[[#This Row],[Distance]]/5)+1,"")</f>
        <v>1</v>
      </c>
      <c r="AI76" s="489"/>
      <c r="AJ76" s="489"/>
    </row>
    <row r="77" spans="2:36" s="203" customFormat="1" ht="15.75" customHeight="1" x14ac:dyDescent="0.25">
      <c r="B77" s="283" t="s">
        <v>460</v>
      </c>
      <c r="C77" s="274" t="s">
        <v>378</v>
      </c>
      <c r="D77" s="274" t="s">
        <v>479</v>
      </c>
      <c r="E77" s="274" t="s">
        <v>5</v>
      </c>
      <c r="F77" s="274" t="s">
        <v>483</v>
      </c>
      <c r="G77" s="274" t="s">
        <v>185</v>
      </c>
      <c r="H77" s="274" t="s">
        <v>487</v>
      </c>
      <c r="I77" s="274" t="s">
        <v>694</v>
      </c>
      <c r="J77" s="274" t="s">
        <v>695</v>
      </c>
      <c r="K77" s="274" t="s">
        <v>1134</v>
      </c>
      <c r="L77" s="274" t="s">
        <v>1135</v>
      </c>
      <c r="M77" s="274" t="s">
        <v>225</v>
      </c>
      <c r="N77" s="274" t="s">
        <v>224</v>
      </c>
      <c r="O77" s="284">
        <v>97.710864000000001</v>
      </c>
      <c r="P77" s="284">
        <v>24.207332999999998</v>
      </c>
      <c r="Q77" s="285">
        <v>0</v>
      </c>
      <c r="R77" s="414">
        <v>41</v>
      </c>
      <c r="S77" s="414">
        <v>245</v>
      </c>
      <c r="T77" s="287">
        <f>IF(CampList[[#This Row],[HH]]&gt;0,CampList[[#This Row],[Total]]/CampList[[#This Row],[HH]],"NA")</f>
        <v>5.975609756097561</v>
      </c>
      <c r="U77" s="276" t="s">
        <v>465</v>
      </c>
      <c r="V77" s="276" t="s">
        <v>1013</v>
      </c>
      <c r="W77" s="276" t="s">
        <v>508</v>
      </c>
      <c r="X77" s="276" t="s">
        <v>743</v>
      </c>
      <c r="Y77" s="421">
        <v>41122</v>
      </c>
      <c r="Z77" s="288" t="s">
        <v>424</v>
      </c>
      <c r="AA77" s="274" t="s">
        <v>776</v>
      </c>
      <c r="AB77" s="290">
        <v>43008</v>
      </c>
      <c r="AC77" s="290"/>
      <c r="AD77" s="291" t="s">
        <v>1381</v>
      </c>
      <c r="AE77" s="276" t="str">
        <f ca="1">IFERROR(OFFSET(DistanceToCamp[Nearest Town],MATCH(CampList[[#This Row],[CP_Pcode]],DistanceToCamp[CP_Pcode],0)-1,0,1,1),"")</f>
        <v>Lwegel Town</v>
      </c>
      <c r="AF77" s="292">
        <f ca="1">IFERROR(OFFSET(DistanceToCamp[distance],MATCH(CampList[[#This Row],[CP_Pcode]],DistanceToCamp[CP_Pcode],0)-1,0,1,1),"")</f>
        <v>1.343152344964242</v>
      </c>
      <c r="AG77" s="293">
        <f ca="1">IFERROR(INT(CampList[[#This Row],[Distance]]/5)+1,"")</f>
        <v>1</v>
      </c>
      <c r="AI77" s="489"/>
      <c r="AJ77" s="489"/>
    </row>
    <row r="78" spans="2:36" s="203" customFormat="1" ht="15.75" hidden="1" customHeight="1" x14ac:dyDescent="0.25">
      <c r="B78" s="283" t="s">
        <v>777</v>
      </c>
      <c r="C78" s="274" t="s">
        <v>378</v>
      </c>
      <c r="D78" s="274" t="s">
        <v>479</v>
      </c>
      <c r="E78" s="274" t="s">
        <v>5</v>
      </c>
      <c r="F78" s="274" t="s">
        <v>483</v>
      </c>
      <c r="G78" s="274" t="s">
        <v>151</v>
      </c>
      <c r="H78" s="274" t="s">
        <v>493</v>
      </c>
      <c r="I78" s="291"/>
      <c r="J78" s="291"/>
      <c r="K78" s="291"/>
      <c r="L78" s="291"/>
      <c r="M78" s="274" t="s">
        <v>806</v>
      </c>
      <c r="N78" s="274" t="s">
        <v>807</v>
      </c>
      <c r="O78" s="284"/>
      <c r="P78" s="284"/>
      <c r="Q78" s="301"/>
      <c r="R78" s="376">
        <v>0</v>
      </c>
      <c r="S78" s="377">
        <v>0</v>
      </c>
      <c r="T78" s="287" t="str">
        <f>IF(CampList[[#This Row],[HH]]&gt;0,CampList[[#This Row],[Total]]/CampList[[#This Row],[HH]],"NA")</f>
        <v>NA</v>
      </c>
      <c r="U78" s="276" t="s">
        <v>465</v>
      </c>
      <c r="V78" s="294" t="s">
        <v>1013</v>
      </c>
      <c r="W78" s="276" t="s">
        <v>508</v>
      </c>
      <c r="X78" s="294"/>
      <c r="Y78" s="310"/>
      <c r="Z78" s="311"/>
      <c r="AA78" s="308" t="s">
        <v>776</v>
      </c>
      <c r="AB78" s="290">
        <v>41701</v>
      </c>
      <c r="AC78" s="290"/>
      <c r="AD78" s="283" t="s">
        <v>871</v>
      </c>
      <c r="AE78" s="276" t="str">
        <f ca="1">IFERROR(OFFSET(DistanceToCamp[Nearest Town],MATCH(CampList[[#This Row],[CP_Pcode]],DistanceToCamp[CP_Pcode],0)-1,0,1,1),"")</f>
        <v/>
      </c>
      <c r="AF78" s="292" t="str">
        <f ca="1">IFERROR(OFFSET(DistanceToCamp[distance],MATCH(CampList[[#This Row],[CP_Pcode]],DistanceToCamp[CP_Pcode],0)-1,0,1,1),"")</f>
        <v/>
      </c>
      <c r="AG78" s="293" t="str">
        <f ca="1">IFERROR(INT(CampList[[#This Row],[Distance]]/5)+1,"")</f>
        <v/>
      </c>
      <c r="AI78" s="489"/>
      <c r="AJ78" s="489"/>
    </row>
    <row r="79" spans="2:36" s="203" customFormat="1" ht="15.75" customHeight="1" x14ac:dyDescent="0.25">
      <c r="B79" s="308" t="s">
        <v>460</v>
      </c>
      <c r="C79" s="274" t="s">
        <v>378</v>
      </c>
      <c r="D79" s="274" t="s">
        <v>479</v>
      </c>
      <c r="E79" s="274" t="s">
        <v>299</v>
      </c>
      <c r="F79" s="274" t="s">
        <v>500</v>
      </c>
      <c r="G79" s="274" t="s">
        <v>299</v>
      </c>
      <c r="H79" s="274" t="s">
        <v>506</v>
      </c>
      <c r="I79" s="274" t="s">
        <v>741</v>
      </c>
      <c r="J79" s="274" t="s">
        <v>742</v>
      </c>
      <c r="K79" s="274" t="s">
        <v>890</v>
      </c>
      <c r="L79" s="274" t="s">
        <v>891</v>
      </c>
      <c r="M79" s="274" t="s">
        <v>300</v>
      </c>
      <c r="N79" s="274" t="s">
        <v>298</v>
      </c>
      <c r="O79" s="284">
        <v>97.415289999999999</v>
      </c>
      <c r="P79" s="284">
        <v>27.311699999999998</v>
      </c>
      <c r="Q79" s="285">
        <v>476.7</v>
      </c>
      <c r="R79" s="285">
        <v>14</v>
      </c>
      <c r="S79" s="302">
        <v>75</v>
      </c>
      <c r="T79" s="287">
        <f>IF(CampList[[#This Row],[HH]]&gt;0,CampList[[#This Row],[Total]]/CampList[[#This Row],[HH]],"NA")</f>
        <v>5.3571428571428568</v>
      </c>
      <c r="U79" s="276" t="s">
        <v>465</v>
      </c>
      <c r="V79" s="276" t="s">
        <v>1013</v>
      </c>
      <c r="W79" s="276" t="s">
        <v>12</v>
      </c>
      <c r="X79" s="276" t="s">
        <v>786</v>
      </c>
      <c r="Y79" s="421"/>
      <c r="Z79" s="288"/>
      <c r="AA79" s="274" t="s">
        <v>776</v>
      </c>
      <c r="AB79" s="290">
        <v>42874</v>
      </c>
      <c r="AC79" s="290"/>
      <c r="AD79" s="291" t="s">
        <v>1302</v>
      </c>
      <c r="AE79" s="276" t="str">
        <f ca="1">IFERROR(OFFSET(DistanceToCamp[Nearest Town],MATCH(CampList[[#This Row],[CP_Pcode]],DistanceToCamp[CP_Pcode],0)-1,0,1,1),"")</f>
        <v>Puta-O Town</v>
      </c>
      <c r="AF79" s="292">
        <f ca="1">IFERROR(OFFSET(DistanceToCamp[distance],MATCH(CampList[[#This Row],[CP_Pcode]],DistanceToCamp[CP_Pcode],0)-1,0,1,1),"")</f>
        <v>1.3759254000531889</v>
      </c>
      <c r="AG79" s="293">
        <f ca="1">IFERROR(INT(CampList[[#This Row],[Distance]]/5)+1,"")</f>
        <v>1</v>
      </c>
      <c r="AI79" s="489"/>
      <c r="AJ79" s="489"/>
    </row>
    <row r="80" spans="2:36" s="203" customFormat="1" ht="15.75" customHeight="1" x14ac:dyDescent="0.25">
      <c r="B80" s="283" t="s">
        <v>460</v>
      </c>
      <c r="C80" s="274" t="s">
        <v>378</v>
      </c>
      <c r="D80" s="274" t="s">
        <v>479</v>
      </c>
      <c r="E80" s="274" t="s">
        <v>180</v>
      </c>
      <c r="F80" s="274" t="s">
        <v>480</v>
      </c>
      <c r="G80" s="274" t="s">
        <v>173</v>
      </c>
      <c r="H80" s="274" t="s">
        <v>499</v>
      </c>
      <c r="I80" s="291" t="s">
        <v>573</v>
      </c>
      <c r="J80" s="291" t="s">
        <v>574</v>
      </c>
      <c r="K80" s="291" t="s">
        <v>575</v>
      </c>
      <c r="L80" s="291">
        <v>166676</v>
      </c>
      <c r="M80" s="274" t="s">
        <v>1696</v>
      </c>
      <c r="N80" s="274" t="s">
        <v>175</v>
      </c>
      <c r="O80" s="284">
        <v>96.942279999999997</v>
      </c>
      <c r="P80" s="284">
        <v>25.296579999999999</v>
      </c>
      <c r="Q80" s="285">
        <v>0</v>
      </c>
      <c r="R80" s="414">
        <v>16</v>
      </c>
      <c r="S80" s="653">
        <v>79</v>
      </c>
      <c r="T80" s="287">
        <f>IF(CampList[[#This Row],[HH]]&gt;0,CampList[[#This Row],[Total]]/CampList[[#This Row],[HH]],"NA")</f>
        <v>4.9375</v>
      </c>
      <c r="U80" s="276" t="s">
        <v>465</v>
      </c>
      <c r="V80" s="276" t="s">
        <v>1013</v>
      </c>
      <c r="W80" s="276" t="s">
        <v>508</v>
      </c>
      <c r="X80" s="276" t="s">
        <v>743</v>
      </c>
      <c r="Y80" s="421">
        <v>41030</v>
      </c>
      <c r="Z80" s="288" t="s">
        <v>424</v>
      </c>
      <c r="AA80" s="308" t="s">
        <v>776</v>
      </c>
      <c r="AB80" s="290">
        <v>43008</v>
      </c>
      <c r="AC80" s="290"/>
      <c r="AD80" s="283" t="s">
        <v>1385</v>
      </c>
      <c r="AE80" s="276" t="str">
        <f ca="1">IFERROR(OFFSET(DistanceToCamp[Nearest Town],MATCH(CampList[[#This Row],[CP_Pcode]],DistanceToCamp[CP_Pcode],0)-1,0,1,1),"")</f>
        <v>Mogaung Town</v>
      </c>
      <c r="AF80" s="292">
        <f ca="1">IFERROR(OFFSET(DistanceToCamp[distance],MATCH(CampList[[#This Row],[CP_Pcode]],DistanceToCamp[CP_Pcode],0)-1,0,1,1),"")</f>
        <v>0.71141459237180937</v>
      </c>
      <c r="AG80" s="293">
        <f ca="1">IFERROR(INT(CampList[[#This Row],[Distance]]/5)+1,"")</f>
        <v>1</v>
      </c>
      <c r="AI80" s="489"/>
      <c r="AJ80" s="489"/>
    </row>
    <row r="81" spans="2:36" s="203" customFormat="1" ht="15.75" customHeight="1" x14ac:dyDescent="0.25">
      <c r="B81" s="283" t="s">
        <v>460</v>
      </c>
      <c r="C81" s="274" t="s">
        <v>378</v>
      </c>
      <c r="D81" s="274" t="s">
        <v>479</v>
      </c>
      <c r="E81" s="274" t="s">
        <v>180</v>
      </c>
      <c r="F81" s="274" t="s">
        <v>480</v>
      </c>
      <c r="G81" s="274" t="s">
        <v>173</v>
      </c>
      <c r="H81" s="274" t="s">
        <v>499</v>
      </c>
      <c r="I81" s="291" t="s">
        <v>571</v>
      </c>
      <c r="J81" s="291" t="s">
        <v>572</v>
      </c>
      <c r="K81" s="316" t="s">
        <v>1126</v>
      </c>
      <c r="L81" s="316" t="s">
        <v>1127</v>
      </c>
      <c r="M81" s="274" t="s">
        <v>174</v>
      </c>
      <c r="N81" s="274" t="s">
        <v>172</v>
      </c>
      <c r="O81" s="284">
        <v>96.922619999999995</v>
      </c>
      <c r="P81" s="284">
        <v>25.305669999999999</v>
      </c>
      <c r="Q81" s="285">
        <v>470</v>
      </c>
      <c r="R81" s="414">
        <v>13</v>
      </c>
      <c r="S81" s="414">
        <v>66</v>
      </c>
      <c r="T81" s="287">
        <f>IF(CampList[[#This Row],[HH]]&gt;0,CampList[[#This Row],[Total]]/CampList[[#This Row],[HH]],"NA")</f>
        <v>5.0769230769230766</v>
      </c>
      <c r="U81" s="276" t="s">
        <v>465</v>
      </c>
      <c r="V81" s="276" t="s">
        <v>1013</v>
      </c>
      <c r="W81" s="276" t="s">
        <v>508</v>
      </c>
      <c r="X81" s="276" t="s">
        <v>743</v>
      </c>
      <c r="Y81" s="421">
        <v>41030</v>
      </c>
      <c r="Z81" s="288" t="s">
        <v>424</v>
      </c>
      <c r="AA81" s="308" t="s">
        <v>776</v>
      </c>
      <c r="AB81" s="290">
        <v>43008</v>
      </c>
      <c r="AC81" s="290"/>
      <c r="AD81" s="283" t="s">
        <v>1385</v>
      </c>
      <c r="AE81" s="276" t="str">
        <f ca="1">IFERROR(OFFSET(DistanceToCamp[Nearest Town],MATCH(CampList[[#This Row],[CP_Pcode]],DistanceToCamp[CP_Pcode],0)-1,0,1,1),"")</f>
        <v>Mogaung Town</v>
      </c>
      <c r="AF81" s="292">
        <f ca="1">IFERROR(OFFSET(DistanceToCamp[distance],MATCH(CampList[[#This Row],[CP_Pcode]],DistanceToCamp[CP_Pcode],0)-1,0,1,1),"")</f>
        <v>1.815139598767344</v>
      </c>
      <c r="AG81" s="293">
        <f ca="1">IFERROR(INT(CampList[[#This Row],[Distance]]/5)+1,"")</f>
        <v>1</v>
      </c>
      <c r="AI81" s="489"/>
      <c r="AJ81" s="489"/>
    </row>
    <row r="82" spans="2:36" s="203" customFormat="1" ht="15.75" customHeight="1" x14ac:dyDescent="0.25">
      <c r="B82" s="283" t="s">
        <v>460</v>
      </c>
      <c r="C82" s="274" t="s">
        <v>378</v>
      </c>
      <c r="D82" s="274" t="s">
        <v>479</v>
      </c>
      <c r="E82" s="274" t="s">
        <v>180</v>
      </c>
      <c r="F82" s="274" t="s">
        <v>480</v>
      </c>
      <c r="G82" s="274" t="s">
        <v>173</v>
      </c>
      <c r="H82" s="274" t="s">
        <v>499</v>
      </c>
      <c r="I82" s="274" t="s">
        <v>571</v>
      </c>
      <c r="J82" s="274" t="s">
        <v>572</v>
      </c>
      <c r="K82" s="274" t="s">
        <v>576</v>
      </c>
      <c r="L82" s="274" t="s">
        <v>577</v>
      </c>
      <c r="M82" s="274" t="s">
        <v>178</v>
      </c>
      <c r="N82" s="274" t="s">
        <v>177</v>
      </c>
      <c r="O82" s="284">
        <v>96.948740000000001</v>
      </c>
      <c r="P82" s="284">
        <v>25.30442</v>
      </c>
      <c r="Q82" s="285">
        <v>100</v>
      </c>
      <c r="R82" s="654">
        <v>11</v>
      </c>
      <c r="S82" s="654">
        <v>40</v>
      </c>
      <c r="T82" s="287">
        <f>IF(CampList[[#This Row],[HH]]&gt;0,CampList[[#This Row],[Total]]/CampList[[#This Row],[HH]],"NA")</f>
        <v>3.6363636363636362</v>
      </c>
      <c r="U82" s="276" t="s">
        <v>465</v>
      </c>
      <c r="V82" s="276" t="s">
        <v>1013</v>
      </c>
      <c r="W82" s="276" t="s">
        <v>508</v>
      </c>
      <c r="X82" s="276" t="s">
        <v>743</v>
      </c>
      <c r="Y82" s="421">
        <v>40969</v>
      </c>
      <c r="Z82" s="288" t="s">
        <v>424</v>
      </c>
      <c r="AA82" s="274" t="s">
        <v>776</v>
      </c>
      <c r="AB82" s="290">
        <v>43008</v>
      </c>
      <c r="AC82" s="290"/>
      <c r="AD82" s="291" t="s">
        <v>1386</v>
      </c>
      <c r="AE82" s="276" t="str">
        <f ca="1">IFERROR(OFFSET(DistanceToCamp[Nearest Town],MATCH(CampList[[#This Row],[CP_Pcode]],DistanceToCamp[CP_Pcode],0)-1,0,1,1),"")</f>
        <v>Mogaung Town</v>
      </c>
      <c r="AF82" s="292">
        <f ca="1">IFERROR(OFFSET(DistanceToCamp[distance],MATCH(CampList[[#This Row],[CP_Pcode]],DistanceToCamp[CP_Pcode],0)-1,0,1,1),"")</f>
        <v>0.86042374061342075</v>
      </c>
      <c r="AG82" s="293">
        <f ca="1">IFERROR(INT(CampList[[#This Row],[Distance]]/5)+1,"")</f>
        <v>1</v>
      </c>
      <c r="AI82" s="489"/>
      <c r="AJ82" s="489"/>
    </row>
    <row r="83" spans="2:36" s="203" customFormat="1" ht="15.75" hidden="1" customHeight="1" x14ac:dyDescent="0.25">
      <c r="B83" s="361" t="s">
        <v>777</v>
      </c>
      <c r="C83" s="274" t="s">
        <v>378</v>
      </c>
      <c r="D83" s="274"/>
      <c r="E83" s="274" t="s">
        <v>180</v>
      </c>
      <c r="F83" s="274"/>
      <c r="G83" s="274" t="s">
        <v>173</v>
      </c>
      <c r="H83" s="274"/>
      <c r="I83" s="274" t="s">
        <v>571</v>
      </c>
      <c r="J83" s="300"/>
      <c r="K83" s="274" t="s">
        <v>1735</v>
      </c>
      <c r="L83" s="274"/>
      <c r="M83" s="274" t="s">
        <v>1735</v>
      </c>
      <c r="N83" s="274" t="s">
        <v>1481</v>
      </c>
      <c r="O83" s="284"/>
      <c r="P83" s="284"/>
      <c r="Q83" s="302"/>
      <c r="R83" s="222">
        <v>245</v>
      </c>
      <c r="S83" s="388">
        <v>1084</v>
      </c>
      <c r="T83" s="287">
        <f>IF(CampList[[#This Row],[HH]]&gt;0,CampList[[#This Row],[Total]]/CampList[[#This Row],[HH]],"NA")</f>
        <v>4.4244897959183671</v>
      </c>
      <c r="U83" s="276" t="s">
        <v>465</v>
      </c>
      <c r="V83" s="276" t="s">
        <v>1013</v>
      </c>
      <c r="W83" s="276" t="s">
        <v>1574</v>
      </c>
      <c r="X83" s="276" t="s">
        <v>743</v>
      </c>
      <c r="Y83" s="421">
        <v>42962</v>
      </c>
      <c r="Z83" s="288"/>
      <c r="AA83" s="274" t="s">
        <v>776</v>
      </c>
      <c r="AB83" s="290" t="s">
        <v>1736</v>
      </c>
      <c r="AC83" s="290"/>
      <c r="AD83" s="291" t="s">
        <v>1756</v>
      </c>
      <c r="AE83" s="305" t="s">
        <v>571</v>
      </c>
      <c r="AF83" s="292" t="str">
        <f ca="1">IFERROR(OFFSET(DistanceToCamp[distance],MATCH(CampList[[#This Row],[CP_Pcode]],DistanceToCamp[CP_Pcode],0)-1,0,1,1),"")</f>
        <v/>
      </c>
      <c r="AG83" s="306" t="str">
        <f ca="1">IFERROR(INT(CampList[[#This Row],[Distance]]/5)+1,"")</f>
        <v/>
      </c>
      <c r="AI83" s="489"/>
      <c r="AJ83" s="489"/>
    </row>
    <row r="84" spans="2:36" s="203" customFormat="1" ht="15.75" customHeight="1" x14ac:dyDescent="0.25">
      <c r="B84" s="299" t="s">
        <v>460</v>
      </c>
      <c r="C84" s="275" t="s">
        <v>378</v>
      </c>
      <c r="D84" s="275" t="s">
        <v>479</v>
      </c>
      <c r="E84" s="275" t="s">
        <v>180</v>
      </c>
      <c r="F84" s="275" t="s">
        <v>480</v>
      </c>
      <c r="G84" s="275" t="s">
        <v>180</v>
      </c>
      <c r="H84" s="275" t="s">
        <v>505</v>
      </c>
      <c r="I84" s="275" t="s">
        <v>968</v>
      </c>
      <c r="J84" s="300" t="s">
        <v>1056</v>
      </c>
      <c r="K84" s="316" t="s">
        <v>1145</v>
      </c>
      <c r="L84" s="316" t="s">
        <v>1146</v>
      </c>
      <c r="M84" s="275" t="s">
        <v>181</v>
      </c>
      <c r="N84" s="275" t="s">
        <v>179</v>
      </c>
      <c r="O84" s="286">
        <v>96.367059999999995</v>
      </c>
      <c r="P84" s="286">
        <v>24.764800000000001</v>
      </c>
      <c r="Q84" s="302"/>
      <c r="R84" s="414">
        <v>11</v>
      </c>
      <c r="S84" s="654">
        <v>51</v>
      </c>
      <c r="T84" s="287">
        <f>IF(CampList[[#This Row],[HH]]&gt;0,CampList[[#This Row],[Total]]/CampList[[#This Row],[HH]],"NA")</f>
        <v>4.6363636363636367</v>
      </c>
      <c r="U84" s="224" t="s">
        <v>465</v>
      </c>
      <c r="V84" s="276" t="s">
        <v>1013</v>
      </c>
      <c r="W84" s="224" t="s">
        <v>508</v>
      </c>
      <c r="X84" s="224" t="s">
        <v>743</v>
      </c>
      <c r="Y84" s="422">
        <v>41061</v>
      </c>
      <c r="Z84" s="302" t="s">
        <v>943</v>
      </c>
      <c r="AA84" s="275" t="s">
        <v>776</v>
      </c>
      <c r="AB84" s="290">
        <v>43008</v>
      </c>
      <c r="AC84" s="290"/>
      <c r="AD84" s="304" t="s">
        <v>1318</v>
      </c>
      <c r="AE84" s="305" t="str">
        <f ca="1">IFERROR(OFFSET(DistanceToCamp[Nearest Town],MATCH(CampList[[#This Row],[CP_Pcode]],DistanceToCamp[CP_Pcode],0)-1,0,1,1),"")</f>
        <v>Mohnyin Town</v>
      </c>
      <c r="AF84" s="292">
        <f ca="1">IFERROR(OFFSET(DistanceToCamp[distance],MATCH(CampList[[#This Row],[CP_Pcode]],DistanceToCamp[CP_Pcode],0)-1,0,1,1),"")</f>
        <v>1.7021273757523427</v>
      </c>
      <c r="AG84" s="306">
        <f ca="1">IFERROR(INT(CampList[[#This Row],[Distance]]/5)+1,"")</f>
        <v>1</v>
      </c>
      <c r="AI84" s="489"/>
      <c r="AJ84" s="489"/>
    </row>
    <row r="85" spans="2:36" s="203" customFormat="1" ht="15.75" hidden="1" customHeight="1" x14ac:dyDescent="0.25">
      <c r="B85" s="283" t="s">
        <v>777</v>
      </c>
      <c r="C85" s="274" t="s">
        <v>378</v>
      </c>
      <c r="D85" s="274" t="s">
        <v>479</v>
      </c>
      <c r="E85" s="274" t="s">
        <v>180</v>
      </c>
      <c r="F85" s="274" t="s">
        <v>480</v>
      </c>
      <c r="G85" s="274" t="s">
        <v>481</v>
      </c>
      <c r="H85" s="274" t="s">
        <v>482</v>
      </c>
      <c r="I85" s="291" t="s">
        <v>559</v>
      </c>
      <c r="J85" s="291" t="s">
        <v>560</v>
      </c>
      <c r="K85" s="291" t="s">
        <v>561</v>
      </c>
      <c r="L85" s="291">
        <v>166817</v>
      </c>
      <c r="M85" s="274" t="s">
        <v>58</v>
      </c>
      <c r="N85" s="274" t="s">
        <v>57</v>
      </c>
      <c r="O85" s="284">
        <v>96.673805000000002</v>
      </c>
      <c r="P85" s="284">
        <v>25.728653000000001</v>
      </c>
      <c r="Q85" s="301"/>
      <c r="R85" s="376"/>
      <c r="S85" s="377"/>
      <c r="T85" s="287" t="str">
        <f>IF(CampList[[#This Row],[HH]]&gt;0,CampList[[#This Row],[Total]]/CampList[[#This Row],[HH]],"NA")</f>
        <v>NA</v>
      </c>
      <c r="U85" s="276" t="s">
        <v>465</v>
      </c>
      <c r="V85" s="294" t="s">
        <v>1013</v>
      </c>
      <c r="W85" s="276" t="s">
        <v>508</v>
      </c>
      <c r="X85" s="294" t="s">
        <v>786</v>
      </c>
      <c r="Y85" s="310"/>
      <c r="Z85" s="295" t="s">
        <v>462</v>
      </c>
      <c r="AA85" s="308" t="s">
        <v>776</v>
      </c>
      <c r="AB85" s="290">
        <v>42096</v>
      </c>
      <c r="AC85" s="290"/>
      <c r="AD85" s="283" t="s">
        <v>1083</v>
      </c>
      <c r="AE85" s="276" t="str">
        <f ca="1">IFERROR(OFFSET(DistanceToCamp[Nearest Town],MATCH(CampList[[#This Row],[CP_Pcode]],DistanceToCamp[CP_Pcode],0)-1,0,1,1),"")</f>
        <v>Kamaing Town</v>
      </c>
      <c r="AF85" s="292">
        <f ca="1">IFERROR(OFFSET(DistanceToCamp[distance],MATCH(CampList[[#This Row],[CP_Pcode]],DistanceToCamp[CP_Pcode],0)-1,0,1,1),"")</f>
        <v>23.222739740353646</v>
      </c>
      <c r="AG85" s="293">
        <f ca="1">IFERROR(INT(CampList[[#This Row],[Distance]]/5)+1,"")</f>
        <v>5</v>
      </c>
      <c r="AI85" s="489"/>
      <c r="AJ85" s="489"/>
    </row>
    <row r="86" spans="2:36" s="203" customFormat="1" ht="15.75" hidden="1" customHeight="1" x14ac:dyDescent="0.25">
      <c r="B86" s="283" t="s">
        <v>777</v>
      </c>
      <c r="C86" s="274" t="s">
        <v>378</v>
      </c>
      <c r="D86" s="274" t="s">
        <v>479</v>
      </c>
      <c r="E86" s="274" t="s">
        <v>180</v>
      </c>
      <c r="F86" s="274" t="s">
        <v>480</v>
      </c>
      <c r="G86" s="274" t="s">
        <v>481</v>
      </c>
      <c r="H86" s="274" t="s">
        <v>482</v>
      </c>
      <c r="I86" s="291" t="s">
        <v>553</v>
      </c>
      <c r="J86" s="291" t="s">
        <v>554</v>
      </c>
      <c r="K86" s="291" t="s">
        <v>556</v>
      </c>
      <c r="L86" s="291">
        <v>216880</v>
      </c>
      <c r="M86" s="274" t="s">
        <v>60</v>
      </c>
      <c r="N86" s="274" t="s">
        <v>59</v>
      </c>
      <c r="O86" s="284">
        <v>96.353070000000002</v>
      </c>
      <c r="P86" s="284">
        <v>25.668469999999999</v>
      </c>
      <c r="Q86" s="297">
        <v>256</v>
      </c>
      <c r="R86" s="376"/>
      <c r="S86" s="377"/>
      <c r="T86" s="287" t="str">
        <f>IF(CampList[[#This Row],[HH]]&gt;0,CampList[[#This Row],[Total]]/CampList[[#This Row],[HH]],"NA")</f>
        <v>NA</v>
      </c>
      <c r="U86" s="276" t="s">
        <v>465</v>
      </c>
      <c r="V86" s="294" t="s">
        <v>1013</v>
      </c>
      <c r="W86" s="276" t="s">
        <v>508</v>
      </c>
      <c r="X86" s="294" t="s">
        <v>786</v>
      </c>
      <c r="Y86" s="295">
        <v>41275</v>
      </c>
      <c r="Z86" s="295"/>
      <c r="AA86" s="308" t="s">
        <v>775</v>
      </c>
      <c r="AB86" s="290">
        <v>41774</v>
      </c>
      <c r="AC86" s="290"/>
      <c r="AD86" s="283" t="s">
        <v>900</v>
      </c>
      <c r="AE86" s="276" t="str">
        <f ca="1">IFERROR(OFFSET(DistanceToCamp[Nearest Town],MATCH(CampList[[#This Row],[CP_Pcode]],DistanceToCamp[CP_Pcode],0)-1,0,1,1),"")</f>
        <v/>
      </c>
      <c r="AF86" s="292" t="str">
        <f ca="1">IFERROR(OFFSET(DistanceToCamp[distance],MATCH(CampList[[#This Row],[CP_Pcode]],DistanceToCamp[CP_Pcode],0)-1,0,1,1),"")</f>
        <v/>
      </c>
      <c r="AG86" s="293" t="str">
        <f ca="1">IFERROR(INT(CampList[[#This Row],[Distance]]/5)+1,"")</f>
        <v/>
      </c>
      <c r="AI86" s="489"/>
      <c r="AJ86" s="489"/>
    </row>
    <row r="87" spans="2:36" s="203" customFormat="1" ht="15.75" hidden="1" customHeight="1" x14ac:dyDescent="0.25">
      <c r="B87" s="283" t="s">
        <v>777</v>
      </c>
      <c r="C87" s="274" t="s">
        <v>378</v>
      </c>
      <c r="D87" s="274" t="s">
        <v>479</v>
      </c>
      <c r="E87" s="274" t="s">
        <v>237</v>
      </c>
      <c r="F87" s="274" t="s">
        <v>485</v>
      </c>
      <c r="G87" s="274" t="s">
        <v>309</v>
      </c>
      <c r="H87" s="274" t="s">
        <v>486</v>
      </c>
      <c r="I87" s="291" t="s">
        <v>659</v>
      </c>
      <c r="J87" s="274"/>
      <c r="K87" s="274"/>
      <c r="L87" s="274"/>
      <c r="M87" s="274" t="s">
        <v>356</v>
      </c>
      <c r="N87" s="274" t="s">
        <v>355</v>
      </c>
      <c r="O87" s="284">
        <v>97.837778</v>
      </c>
      <c r="P87" s="284">
        <v>25.273333000000001</v>
      </c>
      <c r="Q87" s="301"/>
      <c r="R87" s="376">
        <v>0</v>
      </c>
      <c r="S87" s="377">
        <v>0</v>
      </c>
      <c r="T87" s="287" t="str">
        <f>IF(CampList[[#This Row],[HH]]&gt;0,CampList[[#This Row],[Total]]/CampList[[#This Row],[HH]],"NA")</f>
        <v>NA</v>
      </c>
      <c r="U87" s="276" t="s">
        <v>467</v>
      </c>
      <c r="V87" s="294" t="s">
        <v>1013</v>
      </c>
      <c r="W87" s="276" t="s">
        <v>508</v>
      </c>
      <c r="X87" s="294"/>
      <c r="Y87" s="310"/>
      <c r="Z87" s="311"/>
      <c r="AA87" s="308"/>
      <c r="AB87" s="314"/>
      <c r="AC87" s="314"/>
      <c r="AD87" s="283"/>
      <c r="AE87" s="276" t="str">
        <f ca="1">IFERROR(OFFSET(DistanceToCamp[Nearest Town],MATCH(CampList[[#This Row],[CP_Pcode]],DistanceToCamp[CP_Pcode],0)-1,0,1,1),"")</f>
        <v/>
      </c>
      <c r="AF87" s="292" t="str">
        <f ca="1">IFERROR(OFFSET(DistanceToCamp[distance],MATCH(CampList[[#This Row],[CP_Pcode]],DistanceToCamp[CP_Pcode],0)-1,0,1,1),"")</f>
        <v/>
      </c>
      <c r="AG87" s="293" t="str">
        <f ca="1">IFERROR(INT(CampList[[#This Row],[Distance]]/5)+1,"")</f>
        <v/>
      </c>
      <c r="AI87" s="489"/>
      <c r="AJ87" s="489"/>
    </row>
    <row r="88" spans="2:36" s="203" customFormat="1" ht="15.75" hidden="1" customHeight="1" x14ac:dyDescent="0.25">
      <c r="B88" s="283" t="s">
        <v>777</v>
      </c>
      <c r="C88" s="274" t="s">
        <v>378</v>
      </c>
      <c r="D88" s="274" t="s">
        <v>479</v>
      </c>
      <c r="E88" s="274" t="s">
        <v>5</v>
      </c>
      <c r="F88" s="274" t="s">
        <v>483</v>
      </c>
      <c r="G88" s="274" t="s">
        <v>151</v>
      </c>
      <c r="H88" s="274" t="s">
        <v>493</v>
      </c>
      <c r="I88" s="274" t="s">
        <v>680</v>
      </c>
      <c r="J88" s="274" t="s">
        <v>681</v>
      </c>
      <c r="K88" s="274" t="s">
        <v>680</v>
      </c>
      <c r="L88" s="300">
        <v>167343</v>
      </c>
      <c r="M88" s="274" t="s">
        <v>892</v>
      </c>
      <c r="N88" s="274" t="s">
        <v>893</v>
      </c>
      <c r="O88" s="284">
        <v>97.608249999999998</v>
      </c>
      <c r="P88" s="284">
        <v>24.000250000000001</v>
      </c>
      <c r="Q88" s="302"/>
      <c r="R88" s="224"/>
      <c r="S88" s="312"/>
      <c r="T88" s="287" t="str">
        <f>IF(CampList[[#This Row],[HH]]&gt;0,CampList[[#This Row],[Total]]/CampList[[#This Row],[HH]],"NA")</f>
        <v>NA</v>
      </c>
      <c r="U88" s="276" t="s">
        <v>467</v>
      </c>
      <c r="V88" s="276" t="s">
        <v>1013</v>
      </c>
      <c r="W88" s="276" t="s">
        <v>508</v>
      </c>
      <c r="X88" s="276" t="s">
        <v>786</v>
      </c>
      <c r="Y88" s="303">
        <v>40817</v>
      </c>
      <c r="Z88" s="288" t="s">
        <v>942</v>
      </c>
      <c r="AA88" s="274" t="s">
        <v>776</v>
      </c>
      <c r="AB88" s="290">
        <v>42629</v>
      </c>
      <c r="AC88" s="290"/>
      <c r="AD88" s="283" t="s">
        <v>1195</v>
      </c>
      <c r="AE88" s="276" t="str">
        <f ca="1">IFERROR(OFFSET(DistanceToCamp[Nearest Town],MATCH(CampList[[#This Row],[CP_Pcode]],DistanceToCamp[CP_Pcode],0)-1,0,1,1),"")</f>
        <v>Namhkan Town</v>
      </c>
      <c r="AF88" s="292">
        <f ca="1">IFERROR(OFFSET(DistanceToCamp[distance],MATCH(CampList[[#This Row],[CP_Pcode]],DistanceToCamp[CP_Pcode],0)-1,0,1,1),"")</f>
        <v>19.631786732140053</v>
      </c>
      <c r="AG88" s="293">
        <f ca="1">IFERROR(INT(CampList[[#This Row],[Distance]]/5)+1,"")</f>
        <v>4</v>
      </c>
      <c r="AI88" s="489"/>
      <c r="AJ88" s="489"/>
    </row>
    <row r="89" spans="2:36" s="203" customFormat="1" ht="15.75" hidden="1" customHeight="1" x14ac:dyDescent="0.25">
      <c r="B89" s="283" t="s">
        <v>777</v>
      </c>
      <c r="C89" s="274" t="s">
        <v>378</v>
      </c>
      <c r="D89" s="274" t="s">
        <v>479</v>
      </c>
      <c r="E89" s="274" t="s">
        <v>180</v>
      </c>
      <c r="F89" s="274" t="s">
        <v>480</v>
      </c>
      <c r="G89" s="274" t="s">
        <v>481</v>
      </c>
      <c r="H89" s="274" t="s">
        <v>482</v>
      </c>
      <c r="I89" s="274"/>
      <c r="J89" s="274"/>
      <c r="K89" s="274"/>
      <c r="L89" s="274"/>
      <c r="M89" s="274" t="s">
        <v>70</v>
      </c>
      <c r="N89" s="274" t="s">
        <v>69</v>
      </c>
      <c r="O89" s="284"/>
      <c r="P89" s="284"/>
      <c r="Q89" s="301"/>
      <c r="R89" s="376"/>
      <c r="S89" s="377"/>
      <c r="T89" s="287" t="str">
        <f>IF(CampList[[#This Row],[HH]]&gt;0,CampList[[#This Row],[Total]]/CampList[[#This Row],[HH]],"NA")</f>
        <v>NA</v>
      </c>
      <c r="U89" s="276" t="s">
        <v>465</v>
      </c>
      <c r="V89" s="294" t="s">
        <v>1013</v>
      </c>
      <c r="W89" s="276" t="s">
        <v>508</v>
      </c>
      <c r="X89" s="294"/>
      <c r="Y89" s="310"/>
      <c r="Z89" s="311"/>
      <c r="AA89" s="308"/>
      <c r="AB89" s="314"/>
      <c r="AC89" s="314"/>
      <c r="AD89" s="283" t="s">
        <v>542</v>
      </c>
      <c r="AE89" s="276" t="str">
        <f ca="1">IFERROR(OFFSET(DistanceToCamp[Nearest Town],MATCH(CampList[[#This Row],[CP_Pcode]],DistanceToCamp[CP_Pcode],0)-1,0,1,1),"")</f>
        <v/>
      </c>
      <c r="AF89" s="292" t="str">
        <f ca="1">IFERROR(OFFSET(DistanceToCamp[distance],MATCH(CampList[[#This Row],[CP_Pcode]],DistanceToCamp[CP_Pcode],0)-1,0,1,1),"")</f>
        <v/>
      </c>
      <c r="AG89" s="293" t="str">
        <f ca="1">IFERROR(INT(CampList[[#This Row],[Distance]]/5)+1,"")</f>
        <v/>
      </c>
      <c r="AI89" s="489"/>
      <c r="AJ89" s="489"/>
    </row>
    <row r="90" spans="2:36" s="203" customFormat="1" ht="15.75" hidden="1" customHeight="1" x14ac:dyDescent="0.25">
      <c r="B90" s="283" t="s">
        <v>777</v>
      </c>
      <c r="C90" s="274" t="s">
        <v>378</v>
      </c>
      <c r="D90" s="274" t="s">
        <v>479</v>
      </c>
      <c r="E90" s="274" t="s">
        <v>5</v>
      </c>
      <c r="F90" s="274" t="s">
        <v>483</v>
      </c>
      <c r="G90" s="274" t="s">
        <v>5</v>
      </c>
      <c r="H90" s="274" t="s">
        <v>484</v>
      </c>
      <c r="I90" s="274"/>
      <c r="J90" s="274"/>
      <c r="K90" s="274"/>
      <c r="L90" s="274"/>
      <c r="M90" s="274" t="s">
        <v>10</v>
      </c>
      <c r="N90" s="274" t="s">
        <v>9</v>
      </c>
      <c r="O90" s="284"/>
      <c r="P90" s="284"/>
      <c r="Q90" s="301"/>
      <c r="R90" s="376">
        <v>0</v>
      </c>
      <c r="S90" s="377">
        <v>0</v>
      </c>
      <c r="T90" s="287" t="str">
        <f>IF(CampList[[#This Row],[HH]]&gt;0,CampList[[#This Row],[Total]]/CampList[[#This Row],[HH]],"NA")</f>
        <v>NA</v>
      </c>
      <c r="U90" s="276" t="s">
        <v>465</v>
      </c>
      <c r="V90" s="294" t="s">
        <v>1013</v>
      </c>
      <c r="W90" s="315" t="s">
        <v>12</v>
      </c>
      <c r="X90" s="294"/>
      <c r="Y90" s="310"/>
      <c r="Z90" s="311"/>
      <c r="AA90" s="403"/>
      <c r="AB90" s="318">
        <v>41666</v>
      </c>
      <c r="AC90" s="318"/>
      <c r="AD90" s="291" t="s">
        <v>848</v>
      </c>
      <c r="AE90" s="276" t="str">
        <f ca="1">IFERROR(OFFSET(DistanceToCamp[Nearest Town],MATCH(CampList[[#This Row],[CP_Pcode]],DistanceToCamp[CP_Pcode],0)-1,0,1,1),"")</f>
        <v/>
      </c>
      <c r="AF90" s="292" t="str">
        <f ca="1">IFERROR(OFFSET(DistanceToCamp[distance],MATCH(CampList[[#This Row],[CP_Pcode]],DistanceToCamp[CP_Pcode],0)-1,0,1,1),"")</f>
        <v/>
      </c>
      <c r="AG90" s="293" t="str">
        <f ca="1">IFERROR(INT(CampList[[#This Row],[Distance]]/5)+1,"")</f>
        <v/>
      </c>
      <c r="AI90" s="489"/>
      <c r="AJ90" s="489"/>
    </row>
    <row r="91" spans="2:36" s="203" customFormat="1" ht="15.75" hidden="1" customHeight="1" x14ac:dyDescent="0.25">
      <c r="B91" s="283" t="s">
        <v>777</v>
      </c>
      <c r="C91" s="274" t="s">
        <v>378</v>
      </c>
      <c r="D91" s="274" t="s">
        <v>479</v>
      </c>
      <c r="E91" s="274" t="s">
        <v>180</v>
      </c>
      <c r="F91" s="274" t="s">
        <v>480</v>
      </c>
      <c r="G91" s="274" t="s">
        <v>481</v>
      </c>
      <c r="H91" s="274" t="s">
        <v>482</v>
      </c>
      <c r="I91" s="291" t="s">
        <v>539</v>
      </c>
      <c r="J91" s="291" t="s">
        <v>540</v>
      </c>
      <c r="K91" s="291" t="s">
        <v>539</v>
      </c>
      <c r="L91" s="291">
        <v>166783</v>
      </c>
      <c r="M91" s="274" t="s">
        <v>78</v>
      </c>
      <c r="N91" s="274" t="s">
        <v>77</v>
      </c>
      <c r="O91" s="284"/>
      <c r="P91" s="284"/>
      <c r="Q91" s="301"/>
      <c r="R91" s="376"/>
      <c r="S91" s="377"/>
      <c r="T91" s="287" t="str">
        <f>IF(CampList[[#This Row],[HH]]&gt;0,CampList[[#This Row],[Total]]/CampList[[#This Row],[HH]],"NA")</f>
        <v>NA</v>
      </c>
      <c r="U91" s="276" t="s">
        <v>465</v>
      </c>
      <c r="V91" s="294" t="s">
        <v>1013</v>
      </c>
      <c r="W91" s="276" t="s">
        <v>508</v>
      </c>
      <c r="X91" s="294" t="s">
        <v>786</v>
      </c>
      <c r="Y91" s="310"/>
      <c r="Z91" s="311"/>
      <c r="AA91" s="308" t="s">
        <v>776</v>
      </c>
      <c r="AB91" s="290">
        <v>41774</v>
      </c>
      <c r="AC91" s="290"/>
      <c r="AD91" s="283" t="s">
        <v>902</v>
      </c>
      <c r="AE91" s="276" t="str">
        <f ca="1">IFERROR(OFFSET(DistanceToCamp[Nearest Town],MATCH(CampList[[#This Row],[CP_Pcode]],DistanceToCamp[CP_Pcode],0)-1,0,1,1),"")</f>
        <v/>
      </c>
      <c r="AF91" s="292" t="str">
        <f ca="1">IFERROR(OFFSET(DistanceToCamp[distance],MATCH(CampList[[#This Row],[CP_Pcode]],DistanceToCamp[CP_Pcode],0)-1,0,1,1),"")</f>
        <v/>
      </c>
      <c r="AG91" s="293" t="str">
        <f ca="1">IFERROR(INT(CampList[[#This Row],[Distance]]/5)+1,"")</f>
        <v/>
      </c>
      <c r="AI91" s="489"/>
      <c r="AJ91" s="489"/>
    </row>
    <row r="92" spans="2:36" s="203" customFormat="1" ht="15.75" hidden="1" customHeight="1" x14ac:dyDescent="0.25">
      <c r="B92" s="283" t="s">
        <v>777</v>
      </c>
      <c r="C92" s="274" t="s">
        <v>378</v>
      </c>
      <c r="D92" s="274" t="s">
        <v>479</v>
      </c>
      <c r="E92" s="274" t="s">
        <v>180</v>
      </c>
      <c r="F92" s="274" t="s">
        <v>480</v>
      </c>
      <c r="G92" s="274" t="s">
        <v>481</v>
      </c>
      <c r="H92" s="274" t="s">
        <v>482</v>
      </c>
      <c r="I92" s="291" t="s">
        <v>539</v>
      </c>
      <c r="J92" s="291" t="s">
        <v>540</v>
      </c>
      <c r="K92" s="291" t="s">
        <v>539</v>
      </c>
      <c r="L92" s="291">
        <v>166783</v>
      </c>
      <c r="M92" s="274" t="s">
        <v>82</v>
      </c>
      <c r="N92" s="274" t="s">
        <v>81</v>
      </c>
      <c r="O92" s="284"/>
      <c r="P92" s="284"/>
      <c r="Q92" s="301"/>
      <c r="R92" s="376"/>
      <c r="S92" s="377"/>
      <c r="T92" s="287" t="str">
        <f>IF(CampList[[#This Row],[HH]]&gt;0,CampList[[#This Row],[Total]]/CampList[[#This Row],[HH]],"NA")</f>
        <v>NA</v>
      </c>
      <c r="U92" s="276" t="s">
        <v>465</v>
      </c>
      <c r="V92" s="294" t="s">
        <v>1013</v>
      </c>
      <c r="W92" s="276" t="s">
        <v>508</v>
      </c>
      <c r="X92" s="294"/>
      <c r="Y92" s="310"/>
      <c r="Z92" s="311"/>
      <c r="AA92" s="308" t="s">
        <v>775</v>
      </c>
      <c r="AB92" s="290">
        <v>41663</v>
      </c>
      <c r="AC92" s="290"/>
      <c r="AD92" s="283" t="s">
        <v>847</v>
      </c>
      <c r="AE92" s="276" t="str">
        <f ca="1">IFERROR(OFFSET(DistanceToCamp[Nearest Town],MATCH(CampList[[#This Row],[CP_Pcode]],DistanceToCamp[CP_Pcode],0)-1,0,1,1),"")</f>
        <v/>
      </c>
      <c r="AF92" s="292" t="str">
        <f ca="1">IFERROR(OFFSET(DistanceToCamp[distance],MATCH(CampList[[#This Row],[CP_Pcode]],DistanceToCamp[CP_Pcode],0)-1,0,1,1),"")</f>
        <v/>
      </c>
      <c r="AG92" s="293" t="str">
        <f ca="1">IFERROR(INT(CampList[[#This Row],[Distance]]/5)+1,"")</f>
        <v/>
      </c>
      <c r="AI92" s="489"/>
      <c r="AJ92" s="489"/>
    </row>
    <row r="93" spans="2:36" s="203" customFormat="1" ht="15.75" customHeight="1" x14ac:dyDescent="0.25">
      <c r="B93" s="283" t="s">
        <v>460</v>
      </c>
      <c r="C93" s="274" t="s">
        <v>378</v>
      </c>
      <c r="D93" s="274" t="s">
        <v>479</v>
      </c>
      <c r="E93" s="274" t="s">
        <v>180</v>
      </c>
      <c r="F93" s="274" t="s">
        <v>480</v>
      </c>
      <c r="G93" s="274" t="s">
        <v>481</v>
      </c>
      <c r="H93" s="274" t="s">
        <v>482</v>
      </c>
      <c r="I93" s="291" t="s">
        <v>544</v>
      </c>
      <c r="J93" s="291" t="s">
        <v>545</v>
      </c>
      <c r="K93" s="291" t="s">
        <v>548</v>
      </c>
      <c r="L93" s="291" t="s">
        <v>549</v>
      </c>
      <c r="M93" s="274" t="s">
        <v>100</v>
      </c>
      <c r="N93" s="274" t="s">
        <v>99</v>
      </c>
      <c r="O93" s="284">
        <v>96.319829999999996</v>
      </c>
      <c r="P93" s="284">
        <v>25.6145</v>
      </c>
      <c r="Q93" s="285">
        <v>65</v>
      </c>
      <c r="R93" s="653">
        <v>8</v>
      </c>
      <c r="S93" s="653">
        <v>15</v>
      </c>
      <c r="T93" s="287">
        <f>IF(CampList[[#This Row],[HH]]&gt;0,CampList[[#This Row],[Total]]/CampList[[#This Row],[HH]],"NA")</f>
        <v>1.875</v>
      </c>
      <c r="U93" s="276" t="s">
        <v>465</v>
      </c>
      <c r="V93" s="276" t="s">
        <v>1013</v>
      </c>
      <c r="W93" s="276" t="s">
        <v>508</v>
      </c>
      <c r="X93" s="276" t="s">
        <v>743</v>
      </c>
      <c r="Y93" s="421">
        <v>41122</v>
      </c>
      <c r="Z93" s="288" t="s">
        <v>462</v>
      </c>
      <c r="AA93" s="308" t="s">
        <v>776</v>
      </c>
      <c r="AB93" s="290">
        <v>43008</v>
      </c>
      <c r="AC93" s="290"/>
      <c r="AD93" s="283" t="s">
        <v>1347</v>
      </c>
      <c r="AE93" s="276" t="str">
        <f ca="1">IFERROR(OFFSET(DistanceToCamp[Nearest Town],MATCH(CampList[[#This Row],[CP_Pcode]],DistanceToCamp[CP_Pcode],0)-1,0,1,1),"")</f>
        <v>Hpakant Town</v>
      </c>
      <c r="AF93" s="292">
        <f ca="1">IFERROR(OFFSET(DistanceToCamp[distance],MATCH(CampList[[#This Row],[CP_Pcode]],DistanceToCamp[CP_Pcode],0)-1,0,1,1),"")</f>
        <v>0.79577754007276646</v>
      </c>
      <c r="AG93" s="293">
        <f ca="1">IFERROR(INT(CampList[[#This Row],[Distance]]/5)+1,"")</f>
        <v>1</v>
      </c>
      <c r="AI93" s="489"/>
      <c r="AJ93" s="489"/>
    </row>
    <row r="94" spans="2:36" s="203" customFormat="1" ht="15.75" customHeight="1" x14ac:dyDescent="0.25">
      <c r="B94" s="283" t="s">
        <v>460</v>
      </c>
      <c r="C94" s="274" t="s">
        <v>507</v>
      </c>
      <c r="D94" s="274" t="s">
        <v>490</v>
      </c>
      <c r="E94" s="274" t="s">
        <v>230</v>
      </c>
      <c r="F94" s="274" t="s">
        <v>491</v>
      </c>
      <c r="G94" s="274" t="s">
        <v>288</v>
      </c>
      <c r="H94" s="274" t="s">
        <v>503</v>
      </c>
      <c r="I94" s="274" t="s">
        <v>692</v>
      </c>
      <c r="J94" s="274" t="s">
        <v>693</v>
      </c>
      <c r="K94" s="274" t="s">
        <v>692</v>
      </c>
      <c r="L94" s="274">
        <v>208353</v>
      </c>
      <c r="M94" s="274" t="s">
        <v>291</v>
      </c>
      <c r="N94" s="274" t="s">
        <v>290</v>
      </c>
      <c r="O94" s="284">
        <v>97.681970000000007</v>
      </c>
      <c r="P94" s="284">
        <v>23.821380000000001</v>
      </c>
      <c r="Q94" s="285">
        <v>811.6</v>
      </c>
      <c r="R94" s="653">
        <v>75</v>
      </c>
      <c r="S94" s="653">
        <v>394</v>
      </c>
      <c r="T94" s="287">
        <f>IF(CampList[[#This Row],[HH]]&gt;0,CampList[[#This Row],[Total]]/CampList[[#This Row],[HH]],"NA")</f>
        <v>5.253333333333333</v>
      </c>
      <c r="U94" s="276" t="s">
        <v>465</v>
      </c>
      <c r="V94" s="276" t="s">
        <v>1013</v>
      </c>
      <c r="W94" s="276" t="s">
        <v>508</v>
      </c>
      <c r="X94" s="276" t="s">
        <v>743</v>
      </c>
      <c r="Y94" s="288">
        <v>41609</v>
      </c>
      <c r="Z94" s="288" t="s">
        <v>424</v>
      </c>
      <c r="AA94" s="308" t="s">
        <v>776</v>
      </c>
      <c r="AB94" s="290">
        <v>43008</v>
      </c>
      <c r="AC94" s="290"/>
      <c r="AD94" s="291" t="s">
        <v>1397</v>
      </c>
      <c r="AE94" s="276" t="str">
        <f ca="1">IFERROR(OFFSET(DistanceToCamp[Nearest Town],MATCH(CampList[[#This Row],[CP_Pcode]],DistanceToCamp[CP_Pcode],0)-1,0,1,1),"")</f>
        <v>Namhkan Town</v>
      </c>
      <c r="AF94" s="292">
        <f ca="1">IFERROR(OFFSET(DistanceToCamp[distance],MATCH(CampList[[#This Row],[CP_Pcode]],DistanceToCamp[CP_Pcode],0)-1,0,1,1),"")</f>
        <v>1.7369508287203668</v>
      </c>
      <c r="AG94" s="293">
        <f ca="1">IFERROR(INT(CampList[[#This Row],[Distance]]/5)+1,"")</f>
        <v>1</v>
      </c>
      <c r="AI94" s="489"/>
      <c r="AJ94" s="489"/>
    </row>
    <row r="95" spans="2:36" s="203" customFormat="1" ht="15.75" hidden="1" customHeight="1" x14ac:dyDescent="0.25">
      <c r="B95" s="283" t="s">
        <v>777</v>
      </c>
      <c r="C95" s="274" t="s">
        <v>507</v>
      </c>
      <c r="D95" s="274" t="s">
        <v>490</v>
      </c>
      <c r="E95" s="274" t="s">
        <v>230</v>
      </c>
      <c r="F95" s="274" t="s">
        <v>491</v>
      </c>
      <c r="G95" s="274" t="s">
        <v>230</v>
      </c>
      <c r="H95" s="274" t="s">
        <v>492</v>
      </c>
      <c r="I95" s="274" t="s">
        <v>235</v>
      </c>
      <c r="J95" s="274" t="s">
        <v>970</v>
      </c>
      <c r="K95" s="274" t="s">
        <v>235</v>
      </c>
      <c r="L95" s="274"/>
      <c r="M95" s="274" t="s">
        <v>235</v>
      </c>
      <c r="N95" s="274" t="s">
        <v>234</v>
      </c>
      <c r="O95" s="284">
        <v>98.054946000000001</v>
      </c>
      <c r="P95" s="284">
        <v>24.008452999999999</v>
      </c>
      <c r="Q95" s="302">
        <v>3396</v>
      </c>
      <c r="R95" s="222"/>
      <c r="S95" s="388"/>
      <c r="T95" s="287" t="str">
        <f>IF(CampList[[#This Row],[HH]]&gt;0,CampList[[#This Row],[Total]]/CampList[[#This Row],[HH]],"NA")</f>
        <v>NA</v>
      </c>
      <c r="U95" s="276" t="s">
        <v>467</v>
      </c>
      <c r="V95" s="276" t="s">
        <v>1013</v>
      </c>
      <c r="W95" s="276" t="s">
        <v>12</v>
      </c>
      <c r="X95" s="276" t="s">
        <v>786</v>
      </c>
      <c r="Y95" s="303"/>
      <c r="Z95" s="289"/>
      <c r="AA95" s="274" t="s">
        <v>523</v>
      </c>
      <c r="AB95" s="290">
        <v>42831</v>
      </c>
      <c r="AC95" s="290"/>
      <c r="AD95" s="283" t="s">
        <v>1259</v>
      </c>
      <c r="AE95" s="276" t="str">
        <f ca="1">IFERROR(OFFSET(DistanceToCamp[Nearest Town],MATCH(CampList[[#This Row],[CP_Pcode]],DistanceToCamp[CP_Pcode],0)-1,0,1,1),"")</f>
        <v>Pang Hseng (Kyu Koke) Town</v>
      </c>
      <c r="AF95" s="292">
        <f ca="1">IFERROR(OFFSET(DistanceToCamp[distance],MATCH(CampList[[#This Row],[CP_Pcode]],DistanceToCamp[CP_Pcode],0)-1,0,1,1),"")</f>
        <v>7.490291417449443</v>
      </c>
      <c r="AG95" s="293">
        <f ca="1">IFERROR(INT(CampList[[#This Row],[Distance]]/5)+1,"")</f>
        <v>2</v>
      </c>
      <c r="AI95" s="489"/>
      <c r="AJ95" s="489"/>
    </row>
    <row r="96" spans="2:36" s="203" customFormat="1" ht="15.75" hidden="1" customHeight="1" x14ac:dyDescent="0.25">
      <c r="B96" s="283" t="s">
        <v>777</v>
      </c>
      <c r="C96" s="274" t="s">
        <v>378</v>
      </c>
      <c r="D96" s="274" t="s">
        <v>479</v>
      </c>
      <c r="E96" s="274" t="s">
        <v>237</v>
      </c>
      <c r="F96" s="274" t="s">
        <v>485</v>
      </c>
      <c r="G96" s="274" t="s">
        <v>27</v>
      </c>
      <c r="H96" s="274" t="s">
        <v>488</v>
      </c>
      <c r="I96" s="274"/>
      <c r="J96" s="274"/>
      <c r="K96" s="274"/>
      <c r="L96" s="274"/>
      <c r="M96" s="274" t="s">
        <v>32</v>
      </c>
      <c r="N96" s="274" t="s">
        <v>31</v>
      </c>
      <c r="O96" s="284"/>
      <c r="P96" s="284"/>
      <c r="Q96" s="301"/>
      <c r="R96" s="376"/>
      <c r="S96" s="377"/>
      <c r="T96" s="287" t="str">
        <f>IF(CampList[[#This Row],[HH]]&gt;0,CampList[[#This Row],[Total]]/CampList[[#This Row],[HH]],"NA")</f>
        <v>NA</v>
      </c>
      <c r="U96" s="276" t="s">
        <v>465</v>
      </c>
      <c r="V96" s="294" t="s">
        <v>1013</v>
      </c>
      <c r="W96" s="276" t="s">
        <v>508</v>
      </c>
      <c r="X96" s="294" t="s">
        <v>786</v>
      </c>
      <c r="Y96" s="310"/>
      <c r="Z96" s="295" t="s">
        <v>943</v>
      </c>
      <c r="AA96" s="308" t="s">
        <v>776</v>
      </c>
      <c r="AB96" s="290">
        <v>42096</v>
      </c>
      <c r="AC96" s="290"/>
      <c r="AD96" s="283" t="s">
        <v>1046</v>
      </c>
      <c r="AE96" s="276" t="str">
        <f ca="1">IFERROR(OFFSET(DistanceToCamp[Nearest Town],MATCH(CampList[[#This Row],[CP_Pcode]],DistanceToCamp[CP_Pcode],0)-1,0,1,1),"")</f>
        <v/>
      </c>
      <c r="AF96" s="292" t="str">
        <f ca="1">IFERROR(OFFSET(DistanceToCamp[distance],MATCH(CampList[[#This Row],[CP_Pcode]],DistanceToCamp[CP_Pcode],0)-1,0,1,1),"")</f>
        <v/>
      </c>
      <c r="AG96" s="293" t="str">
        <f ca="1">IFERROR(INT(CampList[[#This Row],[Distance]]/5)+1,"")</f>
        <v/>
      </c>
      <c r="AI96" s="489"/>
      <c r="AJ96" s="489"/>
    </row>
    <row r="97" spans="2:36" s="203" customFormat="1" ht="15.75" customHeight="1" x14ac:dyDescent="0.25">
      <c r="B97" s="283" t="s">
        <v>460</v>
      </c>
      <c r="C97" s="274" t="s">
        <v>507</v>
      </c>
      <c r="D97" s="274" t="s">
        <v>490</v>
      </c>
      <c r="E97" s="274" t="s">
        <v>230</v>
      </c>
      <c r="F97" s="274" t="s">
        <v>491</v>
      </c>
      <c r="G97" s="274" t="s">
        <v>146</v>
      </c>
      <c r="H97" s="274" t="s">
        <v>498</v>
      </c>
      <c r="I97" s="274" t="s">
        <v>726</v>
      </c>
      <c r="J97" s="274" t="s">
        <v>727</v>
      </c>
      <c r="K97" s="298" t="s">
        <v>728</v>
      </c>
      <c r="L97" s="275">
        <v>219842</v>
      </c>
      <c r="M97" s="274" t="s">
        <v>369</v>
      </c>
      <c r="N97" s="274" t="s">
        <v>147</v>
      </c>
      <c r="O97" s="284">
        <v>98.220614999999995</v>
      </c>
      <c r="P97" s="284">
        <v>23.400155999999999</v>
      </c>
      <c r="Q97" s="285">
        <v>3109</v>
      </c>
      <c r="R97" s="414">
        <v>46</v>
      </c>
      <c r="S97" s="653">
        <v>254</v>
      </c>
      <c r="T97" s="287">
        <f>IF(CampList[[#This Row],[HH]]&gt;0,CampList[[#This Row],[Total]]/CampList[[#This Row],[HH]],"NA")</f>
        <v>5.5217391304347823</v>
      </c>
      <c r="U97" s="276" t="s">
        <v>465</v>
      </c>
      <c r="V97" s="276" t="s">
        <v>1013</v>
      </c>
      <c r="W97" s="276" t="s">
        <v>508</v>
      </c>
      <c r="X97" s="276" t="s">
        <v>786</v>
      </c>
      <c r="Y97" s="288">
        <v>40787</v>
      </c>
      <c r="Z97" s="288" t="s">
        <v>424</v>
      </c>
      <c r="AA97" s="308" t="s">
        <v>776</v>
      </c>
      <c r="AB97" s="290">
        <v>43008</v>
      </c>
      <c r="AC97" s="290"/>
      <c r="AD97" s="283" t="s">
        <v>1404</v>
      </c>
      <c r="AE97" s="276" t="str">
        <f ca="1">IFERROR(OFFSET(DistanceToCamp[Nearest Town],MATCH(CampList[[#This Row],[CP_Pcode]],DistanceToCamp[CP_Pcode],0)-1,0,1,1),"")</f>
        <v>Tarmoenye Town</v>
      </c>
      <c r="AF97" s="292">
        <f ca="1">IFERROR(OFFSET(DistanceToCamp[distance],MATCH(CampList[[#This Row],[CP_Pcode]],DistanceToCamp[CP_Pcode],0)-1,0,1,1),"")</f>
        <v>23.172399462804503</v>
      </c>
      <c r="AG97" s="293">
        <f ca="1">IFERROR(INT(CampList[[#This Row],[Distance]]/5)+1,"")</f>
        <v>5</v>
      </c>
      <c r="AI97" s="489"/>
      <c r="AJ97" s="489"/>
    </row>
    <row r="98" spans="2:36" s="203" customFormat="1" ht="15.75" hidden="1" customHeight="1" x14ac:dyDescent="0.25">
      <c r="B98" s="283" t="s">
        <v>777</v>
      </c>
      <c r="C98" s="274" t="s">
        <v>378</v>
      </c>
      <c r="D98" s="274" t="s">
        <v>479</v>
      </c>
      <c r="E98" s="274" t="s">
        <v>180</v>
      </c>
      <c r="F98" s="274" t="s">
        <v>480</v>
      </c>
      <c r="G98" s="274" t="s">
        <v>481</v>
      </c>
      <c r="H98" s="274" t="s">
        <v>482</v>
      </c>
      <c r="I98" s="291" t="s">
        <v>544</v>
      </c>
      <c r="J98" s="291" t="s">
        <v>545</v>
      </c>
      <c r="K98" s="291" t="s">
        <v>548</v>
      </c>
      <c r="L98" s="291" t="s">
        <v>549</v>
      </c>
      <c r="M98" s="274" t="s">
        <v>56</v>
      </c>
      <c r="N98" s="274" t="s">
        <v>55</v>
      </c>
      <c r="O98" s="284"/>
      <c r="P98" s="284"/>
      <c r="Q98" s="301"/>
      <c r="R98" s="376">
        <v>0</v>
      </c>
      <c r="S98" s="377">
        <v>0</v>
      </c>
      <c r="T98" s="287" t="str">
        <f>IF(CampList[[#This Row],[HH]]&gt;0,CampList[[#This Row],[Total]]/CampList[[#This Row],[HH]],"NA")</f>
        <v>NA</v>
      </c>
      <c r="U98" s="276" t="s">
        <v>465</v>
      </c>
      <c r="V98" s="294" t="s">
        <v>1013</v>
      </c>
      <c r="W98" s="276" t="s">
        <v>508</v>
      </c>
      <c r="X98" s="294"/>
      <c r="Y98" s="310"/>
      <c r="Z98" s="311"/>
      <c r="AA98" s="308"/>
      <c r="AB98" s="314"/>
      <c r="AC98" s="314"/>
      <c r="AD98" s="283"/>
      <c r="AE98" s="276" t="str">
        <f ca="1">IFERROR(OFFSET(DistanceToCamp[Nearest Town],MATCH(CampList[[#This Row],[CP_Pcode]],DistanceToCamp[CP_Pcode],0)-1,0,1,1),"")</f>
        <v/>
      </c>
      <c r="AF98" s="292" t="str">
        <f ca="1">IFERROR(OFFSET(DistanceToCamp[distance],MATCH(CampList[[#This Row],[CP_Pcode]],DistanceToCamp[CP_Pcode],0)-1,0,1,1),"")</f>
        <v/>
      </c>
      <c r="AG98" s="293" t="str">
        <f ca="1">IFERROR(INT(CampList[[#This Row],[Distance]]/5)+1,"")</f>
        <v/>
      </c>
      <c r="AI98" s="489"/>
      <c r="AJ98" s="489"/>
    </row>
    <row r="99" spans="2:36" s="203" customFormat="1" ht="15.75" customHeight="1" x14ac:dyDescent="0.25">
      <c r="B99" s="283" t="s">
        <v>460</v>
      </c>
      <c r="C99" s="274" t="s">
        <v>507</v>
      </c>
      <c r="D99" s="274" t="s">
        <v>490</v>
      </c>
      <c r="E99" s="274" t="s">
        <v>230</v>
      </c>
      <c r="F99" s="274" t="s">
        <v>491</v>
      </c>
      <c r="G99" s="274" t="s">
        <v>146</v>
      </c>
      <c r="H99" s="274" t="s">
        <v>498</v>
      </c>
      <c r="I99" s="309" t="s">
        <v>664</v>
      </c>
      <c r="J99" s="274" t="s">
        <v>1059</v>
      </c>
      <c r="K99" s="309" t="s">
        <v>665</v>
      </c>
      <c r="L99" s="324">
        <v>208696</v>
      </c>
      <c r="M99" s="274" t="s">
        <v>149</v>
      </c>
      <c r="N99" s="274" t="s">
        <v>148</v>
      </c>
      <c r="O99" s="284">
        <v>97.818979999999996</v>
      </c>
      <c r="P99" s="284">
        <v>23.694130000000001</v>
      </c>
      <c r="Q99" s="285">
        <v>1135.7</v>
      </c>
      <c r="R99" s="414">
        <v>57</v>
      </c>
      <c r="S99" s="653">
        <v>262</v>
      </c>
      <c r="T99" s="287">
        <f>IF(CampList[[#This Row],[HH]]&gt;0,CampList[[#This Row],[Total]]/CampList[[#This Row],[HH]],"NA")</f>
        <v>4.5964912280701755</v>
      </c>
      <c r="U99" s="276" t="s">
        <v>465</v>
      </c>
      <c r="V99" s="276" t="s">
        <v>1013</v>
      </c>
      <c r="W99" s="276" t="s">
        <v>508</v>
      </c>
      <c r="X99" s="276" t="s">
        <v>786</v>
      </c>
      <c r="Y99" s="288">
        <v>40878</v>
      </c>
      <c r="Z99" s="288" t="s">
        <v>424</v>
      </c>
      <c r="AA99" s="308" t="s">
        <v>776</v>
      </c>
      <c r="AB99" s="290">
        <v>43008</v>
      </c>
      <c r="AC99" s="290"/>
      <c r="AD99" s="283" t="s">
        <v>1405</v>
      </c>
      <c r="AE99" s="276" t="str">
        <f ca="1">IFERROR(OFFSET(DistanceToCamp[Nearest Town],MATCH(CampList[[#This Row],[CP_Pcode]],DistanceToCamp[CP_Pcode],0)-1,0,1,1),"")</f>
        <v>Namhkan Town</v>
      </c>
      <c r="AF99" s="292">
        <f ca="1">IFERROR(OFFSET(DistanceToCamp[distance],MATCH(CampList[[#This Row],[CP_Pcode]],DistanceToCamp[CP_Pcode],0)-1,0,1,1),"")</f>
        <v>21.148671772283631</v>
      </c>
      <c r="AG99" s="293">
        <f ca="1">IFERROR(INT(CampList[[#This Row],[Distance]]/5)+1,"")</f>
        <v>5</v>
      </c>
      <c r="AI99" s="489"/>
      <c r="AJ99" s="489"/>
    </row>
    <row r="100" spans="2:36" s="203" customFormat="1" ht="15.75" hidden="1" customHeight="1" x14ac:dyDescent="0.25">
      <c r="B100" s="283" t="s">
        <v>777</v>
      </c>
      <c r="C100" s="274" t="s">
        <v>378</v>
      </c>
      <c r="D100" s="274" t="s">
        <v>479</v>
      </c>
      <c r="E100" s="274" t="s">
        <v>5</v>
      </c>
      <c r="F100" s="274" t="s">
        <v>483</v>
      </c>
      <c r="G100" s="274" t="s">
        <v>151</v>
      </c>
      <c r="H100" s="274" t="s">
        <v>493</v>
      </c>
      <c r="I100" s="291"/>
      <c r="J100" s="291"/>
      <c r="K100" s="291"/>
      <c r="L100" s="291"/>
      <c r="M100" s="274" t="s">
        <v>812</v>
      </c>
      <c r="N100" s="274" t="s">
        <v>811</v>
      </c>
      <c r="O100" s="284"/>
      <c r="P100" s="320"/>
      <c r="Q100" s="301"/>
      <c r="R100" s="376">
        <v>0</v>
      </c>
      <c r="S100" s="377">
        <v>0</v>
      </c>
      <c r="T100" s="287" t="str">
        <f>IF(CampList[[#This Row],[HH]]&gt;0,CampList[[#This Row],[Total]]/CampList[[#This Row],[HH]],"NA")</f>
        <v>NA</v>
      </c>
      <c r="U100" s="276" t="s">
        <v>465</v>
      </c>
      <c r="V100" s="294" t="s">
        <v>1013</v>
      </c>
      <c r="W100" s="276" t="s">
        <v>786</v>
      </c>
      <c r="X100" s="294"/>
      <c r="Y100" s="310"/>
      <c r="Z100" s="311"/>
      <c r="AA100" s="308" t="s">
        <v>776</v>
      </c>
      <c r="AB100" s="290">
        <v>41677</v>
      </c>
      <c r="AC100" s="290"/>
      <c r="AD100" s="283" t="s">
        <v>852</v>
      </c>
      <c r="AE100" s="276" t="str">
        <f ca="1">IFERROR(OFFSET(DistanceToCamp[Nearest Town],MATCH(CampList[[#This Row],[CP_Pcode]],DistanceToCamp[CP_Pcode],0)-1,0,1,1),"")</f>
        <v/>
      </c>
      <c r="AF100" s="292" t="str">
        <f ca="1">IFERROR(OFFSET(DistanceToCamp[distance],MATCH(CampList[[#This Row],[CP_Pcode]],DistanceToCamp[CP_Pcode],0)-1,0,1,1),"")</f>
        <v/>
      </c>
      <c r="AG100" s="293" t="str">
        <f ca="1">IFERROR(INT(CampList[[#This Row],[Distance]]/5)+1,"")</f>
        <v/>
      </c>
      <c r="AI100" s="489"/>
      <c r="AJ100" s="489"/>
    </row>
    <row r="101" spans="2:36" s="203" customFormat="1" ht="15.75" customHeight="1" x14ac:dyDescent="0.25">
      <c r="B101" s="283" t="s">
        <v>460</v>
      </c>
      <c r="C101" s="274" t="s">
        <v>507</v>
      </c>
      <c r="D101" s="274" t="s">
        <v>490</v>
      </c>
      <c r="E101" s="274" t="s">
        <v>495</v>
      </c>
      <c r="F101" s="274" t="s">
        <v>496</v>
      </c>
      <c r="G101" s="274" t="s">
        <v>166</v>
      </c>
      <c r="H101" s="274" t="s">
        <v>497</v>
      </c>
      <c r="I101" s="309" t="s">
        <v>743</v>
      </c>
      <c r="J101" s="325" t="s">
        <v>971</v>
      </c>
      <c r="K101" s="275" t="s">
        <v>657</v>
      </c>
      <c r="L101" s="275" t="s">
        <v>1131</v>
      </c>
      <c r="M101" s="274" t="s">
        <v>167</v>
      </c>
      <c r="N101" s="274" t="s">
        <v>165</v>
      </c>
      <c r="O101" s="284">
        <v>97.124403000000001</v>
      </c>
      <c r="P101" s="284">
        <v>23.250678000000001</v>
      </c>
      <c r="Q101" s="285">
        <v>1250</v>
      </c>
      <c r="R101" s="654">
        <v>33</v>
      </c>
      <c r="S101" s="414">
        <v>178</v>
      </c>
      <c r="T101" s="287">
        <f>IF(CampList[[#This Row],[HH]]&gt;0,CampList[[#This Row],[Total]]/CampList[[#This Row],[HH]],"NA")</f>
        <v>5.3939393939393936</v>
      </c>
      <c r="U101" s="276" t="s">
        <v>465</v>
      </c>
      <c r="V101" s="276" t="s">
        <v>1013</v>
      </c>
      <c r="W101" s="276" t="s">
        <v>508</v>
      </c>
      <c r="X101" s="276" t="s">
        <v>743</v>
      </c>
      <c r="Y101" s="288">
        <v>41000</v>
      </c>
      <c r="Z101" s="288" t="s">
        <v>424</v>
      </c>
      <c r="AA101" s="308" t="s">
        <v>776</v>
      </c>
      <c r="AB101" s="290">
        <v>43008</v>
      </c>
      <c r="AC101" s="290"/>
      <c r="AD101" s="283" t="s">
        <v>1412</v>
      </c>
      <c r="AE101" s="276" t="str">
        <f ca="1">IFERROR(OFFSET(DistanceToCamp[Nearest Town],MATCH(CampList[[#This Row],[CP_Pcode]],DistanceToCamp[CP_Pcode],0)-1,0,1,1),"")</f>
        <v>Manton Town</v>
      </c>
      <c r="AF101" s="292">
        <f ca="1">IFERROR(OFFSET(DistanceToCamp[distance],MATCH(CampList[[#This Row],[CP_Pcode]],DistanceToCamp[CP_Pcode],0)-1,0,1,1),"")</f>
        <v>0.43878855438285824</v>
      </c>
      <c r="AG101" s="293">
        <f ca="1">IFERROR(INT(CampList[[#This Row],[Distance]]/5)+1,"")</f>
        <v>1</v>
      </c>
      <c r="AI101" s="489"/>
      <c r="AJ101" s="489"/>
    </row>
    <row r="102" spans="2:36" s="203" customFormat="1" ht="15.75" hidden="1" customHeight="1" x14ac:dyDescent="0.25">
      <c r="B102" s="283" t="s">
        <v>777</v>
      </c>
      <c r="C102" s="274" t="s">
        <v>507</v>
      </c>
      <c r="D102" s="274" t="s">
        <v>490</v>
      </c>
      <c r="E102" s="274" t="s">
        <v>230</v>
      </c>
      <c r="F102" s="274" t="s">
        <v>496</v>
      </c>
      <c r="G102" s="274" t="s">
        <v>230</v>
      </c>
      <c r="H102" s="274" t="s">
        <v>497</v>
      </c>
      <c r="I102" s="274" t="s">
        <v>925</v>
      </c>
      <c r="J102" s="274" t="s">
        <v>926</v>
      </c>
      <c r="K102" s="274" t="s">
        <v>927</v>
      </c>
      <c r="L102" s="274"/>
      <c r="M102" s="274" t="s">
        <v>169</v>
      </c>
      <c r="N102" s="274" t="s">
        <v>168</v>
      </c>
      <c r="O102" s="284">
        <v>98.116817999999995</v>
      </c>
      <c r="P102" s="284">
        <v>23.917631</v>
      </c>
      <c r="Q102" s="302"/>
      <c r="R102" s="376"/>
      <c r="S102" s="377"/>
      <c r="T102" s="287" t="str">
        <f>IF(CampList[[#This Row],[HH]]&gt;0,CampList[[#This Row],[Total]]/CampList[[#This Row],[HH]],"NA")</f>
        <v>NA</v>
      </c>
      <c r="U102" s="276" t="s">
        <v>465</v>
      </c>
      <c r="V102" s="276" t="s">
        <v>1013</v>
      </c>
      <c r="W102" s="276" t="s">
        <v>12</v>
      </c>
      <c r="X102" s="276" t="s">
        <v>786</v>
      </c>
      <c r="Y102" s="303"/>
      <c r="Z102" s="289"/>
      <c r="AA102" s="308" t="s">
        <v>776</v>
      </c>
      <c r="AB102" s="290">
        <v>42831</v>
      </c>
      <c r="AC102" s="290"/>
      <c r="AD102" s="283" t="s">
        <v>1258</v>
      </c>
      <c r="AE102" s="276" t="str">
        <f ca="1">IFERROR(OFFSET(DistanceToCamp[Nearest Town],MATCH(CampList[[#This Row],[CP_Pcode]],DistanceToCamp[CP_Pcode],0)-1,0,1,1),"")</f>
        <v>Pang Hseng (Kyu Koke) Town</v>
      </c>
      <c r="AF102" s="292">
        <f ca="1">IFERROR(OFFSET(DistanceToCamp[distance],MATCH(CampList[[#This Row],[CP_Pcode]],DistanceToCamp[CP_Pcode],0)-1,0,1,1),"")</f>
        <v>18.405283544772924</v>
      </c>
      <c r="AG102" s="293">
        <f ca="1">IFERROR(INT(CampList[[#This Row],[Distance]]/5)+1,"")</f>
        <v>4</v>
      </c>
      <c r="AI102" s="489"/>
      <c r="AJ102" s="489"/>
    </row>
    <row r="103" spans="2:36" s="203" customFormat="1" ht="15.75" hidden="1" customHeight="1" x14ac:dyDescent="0.25">
      <c r="B103" s="283" t="s">
        <v>777</v>
      </c>
      <c r="C103" s="274" t="s">
        <v>378</v>
      </c>
      <c r="D103" s="274" t="s">
        <v>479</v>
      </c>
      <c r="E103" s="274" t="s">
        <v>5</v>
      </c>
      <c r="F103" s="274" t="s">
        <v>483</v>
      </c>
      <c r="G103" s="274" t="s">
        <v>5</v>
      </c>
      <c r="H103" s="274" t="s">
        <v>484</v>
      </c>
      <c r="I103" s="274"/>
      <c r="J103" s="274"/>
      <c r="K103" s="274"/>
      <c r="L103" s="274"/>
      <c r="M103" s="274" t="s">
        <v>16</v>
      </c>
      <c r="N103" s="274" t="s">
        <v>15</v>
      </c>
      <c r="O103" s="284">
        <v>97.221556500999995</v>
      </c>
      <c r="P103" s="284">
        <v>24.262418020999998</v>
      </c>
      <c r="Q103" s="301"/>
      <c r="R103" s="376"/>
      <c r="S103" s="377"/>
      <c r="T103" s="287" t="str">
        <f>IF(CampList[[#This Row],[HH]]&gt;0,CampList[[#This Row],[Total]]/CampList[[#This Row],[HH]],"NA")</f>
        <v>NA</v>
      </c>
      <c r="U103" s="276" t="s">
        <v>465</v>
      </c>
      <c r="V103" s="294" t="s">
        <v>1013</v>
      </c>
      <c r="W103" s="276" t="s">
        <v>508</v>
      </c>
      <c r="X103" s="294"/>
      <c r="Y103" s="310"/>
      <c r="Z103" s="311"/>
      <c r="AA103" s="308" t="s">
        <v>776</v>
      </c>
      <c r="AB103" s="290">
        <v>41661</v>
      </c>
      <c r="AC103" s="290"/>
      <c r="AD103" s="283" t="s">
        <v>846</v>
      </c>
      <c r="AE103" s="276" t="str">
        <f ca="1">IFERROR(OFFSET(DistanceToCamp[Nearest Town],MATCH(CampList[[#This Row],[CP_Pcode]],DistanceToCamp[CP_Pcode],0)-1,0,1,1),"")</f>
        <v/>
      </c>
      <c r="AF103" s="292" t="str">
        <f ca="1">IFERROR(OFFSET(DistanceToCamp[distance],MATCH(CampList[[#This Row],[CP_Pcode]],DistanceToCamp[CP_Pcode],0)-1,0,1,1),"")</f>
        <v/>
      </c>
      <c r="AG103" s="293" t="str">
        <f ca="1">IFERROR(INT(CampList[[#This Row],[Distance]]/5)+1,"")</f>
        <v/>
      </c>
      <c r="AI103" s="489"/>
      <c r="AJ103" s="489"/>
    </row>
    <row r="104" spans="2:36" s="203" customFormat="1" ht="15.75" hidden="1" customHeight="1" x14ac:dyDescent="0.25">
      <c r="B104" s="283" t="s">
        <v>777</v>
      </c>
      <c r="C104" s="274" t="s">
        <v>507</v>
      </c>
      <c r="D104" s="274" t="s">
        <v>490</v>
      </c>
      <c r="E104" s="274" t="s">
        <v>230</v>
      </c>
      <c r="F104" s="274" t="s">
        <v>496</v>
      </c>
      <c r="G104" s="274" t="s">
        <v>230</v>
      </c>
      <c r="H104" s="274" t="s">
        <v>497</v>
      </c>
      <c r="I104" s="274" t="s">
        <v>922</v>
      </c>
      <c r="J104" s="274" t="s">
        <v>923</v>
      </c>
      <c r="K104" s="274" t="s">
        <v>924</v>
      </c>
      <c r="L104" s="274">
        <v>208167</v>
      </c>
      <c r="M104" s="274" t="s">
        <v>171</v>
      </c>
      <c r="N104" s="274" t="s">
        <v>170</v>
      </c>
      <c r="O104" s="284">
        <v>98.129380999999995</v>
      </c>
      <c r="P104" s="284">
        <v>23.978088</v>
      </c>
      <c r="Q104" s="302"/>
      <c r="R104" s="376"/>
      <c r="S104" s="377"/>
      <c r="T104" s="287" t="str">
        <f>IF(CampList[[#This Row],[HH]]&gt;0,CampList[[#This Row],[Total]]/CampList[[#This Row],[HH]],"NA")</f>
        <v>NA</v>
      </c>
      <c r="U104" s="276" t="s">
        <v>465</v>
      </c>
      <c r="V104" s="276" t="s">
        <v>1013</v>
      </c>
      <c r="W104" s="276" t="s">
        <v>12</v>
      </c>
      <c r="X104" s="276" t="s">
        <v>786</v>
      </c>
      <c r="Y104" s="303"/>
      <c r="Z104" s="289"/>
      <c r="AA104" s="308" t="s">
        <v>776</v>
      </c>
      <c r="AB104" s="290">
        <v>42831</v>
      </c>
      <c r="AC104" s="290"/>
      <c r="AD104" s="283" t="s">
        <v>1258</v>
      </c>
      <c r="AE104" s="276" t="str">
        <f ca="1">IFERROR(OFFSET(DistanceToCamp[Nearest Town],MATCH(CampList[[#This Row],[CP_Pcode]],DistanceToCamp[CP_Pcode],0)-1,0,1,1),"")</f>
        <v>Pang Hseng (Kyu Koke) Town</v>
      </c>
      <c r="AF104" s="292">
        <f ca="1">IFERROR(OFFSET(DistanceToCamp[distance],MATCH(CampList[[#This Row],[CP_Pcode]],DistanceToCamp[CP_Pcode],0)-1,0,1,1),"")</f>
        <v>12.794700705104317</v>
      </c>
      <c r="AG104" s="293">
        <f ca="1">IFERROR(INT(CampList[[#This Row],[Distance]]/5)+1,"")</f>
        <v>3</v>
      </c>
      <c r="AI104" s="489"/>
      <c r="AJ104" s="489"/>
    </row>
    <row r="105" spans="2:36" s="203" customFormat="1" ht="15.75" customHeight="1" x14ac:dyDescent="0.25">
      <c r="B105" s="283" t="s">
        <v>460</v>
      </c>
      <c r="C105" s="274" t="s">
        <v>378</v>
      </c>
      <c r="D105" s="274" t="s">
        <v>479</v>
      </c>
      <c r="E105" s="274" t="s">
        <v>180</v>
      </c>
      <c r="F105" s="274" t="s">
        <v>480</v>
      </c>
      <c r="G105" s="274" t="s">
        <v>481</v>
      </c>
      <c r="H105" s="274" t="s">
        <v>482</v>
      </c>
      <c r="I105" s="291" t="s">
        <v>550</v>
      </c>
      <c r="J105" s="291" t="s">
        <v>551</v>
      </c>
      <c r="K105" s="291" t="s">
        <v>550</v>
      </c>
      <c r="L105" s="291">
        <v>166776</v>
      </c>
      <c r="M105" s="274" t="s">
        <v>108</v>
      </c>
      <c r="N105" s="274" t="s">
        <v>107</v>
      </c>
      <c r="O105" s="284">
        <v>96.341352999999998</v>
      </c>
      <c r="P105" s="284">
        <v>25.613894999999999</v>
      </c>
      <c r="Q105" s="285">
        <v>251</v>
      </c>
      <c r="R105" s="653">
        <v>53</v>
      </c>
      <c r="S105" s="653">
        <v>277</v>
      </c>
      <c r="T105" s="287">
        <f>IF(CampList[[#This Row],[HH]]&gt;0,CampList[[#This Row],[Total]]/CampList[[#This Row],[HH]],"NA")</f>
        <v>5.2264150943396226</v>
      </c>
      <c r="U105" s="276" t="s">
        <v>465</v>
      </c>
      <c r="V105" s="276" t="s">
        <v>1013</v>
      </c>
      <c r="W105" s="276" t="s">
        <v>508</v>
      </c>
      <c r="X105" s="276" t="s">
        <v>743</v>
      </c>
      <c r="Y105" s="421">
        <v>41487</v>
      </c>
      <c r="Z105" s="288" t="s">
        <v>943</v>
      </c>
      <c r="AA105" s="308" t="s">
        <v>776</v>
      </c>
      <c r="AB105" s="290">
        <v>43008</v>
      </c>
      <c r="AC105" s="290"/>
      <c r="AD105" s="283" t="s">
        <v>1319</v>
      </c>
      <c r="AE105" s="276" t="str">
        <f ca="1">IFERROR(OFFSET(DistanceToCamp[Nearest Town],MATCH(CampList[[#This Row],[CP_Pcode]],DistanceToCamp[CP_Pcode],0)-1,0,1,1),"")</f>
        <v>Hpakant Town</v>
      </c>
      <c r="AF105" s="292">
        <f ca="1">IFERROR(OFFSET(DistanceToCamp[distance],MATCH(CampList[[#This Row],[CP_Pcode]],DistanceToCamp[CP_Pcode],0)-1,0,1,1),"")</f>
        <v>2.9334852607184256</v>
      </c>
      <c r="AG105" s="293">
        <f ca="1">IFERROR(INT(CampList[[#This Row],[Distance]]/5)+1,"")</f>
        <v>1</v>
      </c>
      <c r="AI105" s="489"/>
      <c r="AJ105" s="489"/>
    </row>
    <row r="106" spans="2:36" s="203" customFormat="1" ht="15.75" hidden="1" customHeight="1" x14ac:dyDescent="0.25">
      <c r="B106" s="283" t="s">
        <v>777</v>
      </c>
      <c r="C106" s="274" t="s">
        <v>507</v>
      </c>
      <c r="D106" s="274" t="s">
        <v>490</v>
      </c>
      <c r="E106" s="274" t="s">
        <v>230</v>
      </c>
      <c r="F106" s="274" t="s">
        <v>491</v>
      </c>
      <c r="G106" s="274" t="s">
        <v>230</v>
      </c>
      <c r="H106" s="274" t="s">
        <v>492</v>
      </c>
      <c r="I106" s="309" t="s">
        <v>755</v>
      </c>
      <c r="J106" s="274" t="s">
        <v>1060</v>
      </c>
      <c r="K106" s="309" t="s">
        <v>756</v>
      </c>
      <c r="L106" s="309"/>
      <c r="M106" s="274" t="s">
        <v>233</v>
      </c>
      <c r="N106" s="274" t="s">
        <v>232</v>
      </c>
      <c r="O106" s="284">
        <v>98.320651999999995</v>
      </c>
      <c r="P106" s="284">
        <v>24.101320999999999</v>
      </c>
      <c r="Q106" s="297">
        <v>2979</v>
      </c>
      <c r="R106" s="376"/>
      <c r="S106" s="377"/>
      <c r="T106" s="287" t="str">
        <f>IF(CampList[[#This Row],[HH]]&gt;0,CampList[[#This Row],[Total]]/CampList[[#This Row],[HH]],"NA")</f>
        <v>NA</v>
      </c>
      <c r="U106" s="276" t="s">
        <v>467</v>
      </c>
      <c r="V106" s="294" t="s">
        <v>1013</v>
      </c>
      <c r="W106" s="276" t="s">
        <v>508</v>
      </c>
      <c r="X106" s="294" t="s">
        <v>743</v>
      </c>
      <c r="Y106" s="295">
        <v>41091</v>
      </c>
      <c r="Z106" s="295" t="s">
        <v>424</v>
      </c>
      <c r="AA106" s="308" t="s">
        <v>776</v>
      </c>
      <c r="AB106" s="290">
        <v>42536</v>
      </c>
      <c r="AC106" s="290"/>
      <c r="AD106" s="283" t="s">
        <v>1143</v>
      </c>
      <c r="AE106" s="276" t="str">
        <f ca="1">IFERROR(OFFSET(DistanceToCamp[Nearest Town],MATCH(CampList[[#This Row],[CP_Pcode]],DistanceToCamp[CP_Pcode],0)-1,0,1,1),"")</f>
        <v>Monekoe Town</v>
      </c>
      <c r="AF106" s="292">
        <f ca="1">IFERROR(OFFSET(DistanceToCamp[distance],MATCH(CampList[[#This Row],[CP_Pcode]],DistanceToCamp[CP_Pcode],0)-1,0,1,1),"")</f>
        <v>1.789574394782699</v>
      </c>
      <c r="AG106" s="293">
        <f ca="1">IFERROR(INT(CampList[[#This Row],[Distance]]/5)+1,"")</f>
        <v>1</v>
      </c>
      <c r="AI106" s="489"/>
      <c r="AJ106" s="489"/>
    </row>
    <row r="107" spans="2:36" s="203" customFormat="1" ht="15.75" customHeight="1" x14ac:dyDescent="0.25">
      <c r="B107" s="283" t="s">
        <v>460</v>
      </c>
      <c r="C107" s="274" t="s">
        <v>378</v>
      </c>
      <c r="D107" s="274" t="s">
        <v>479</v>
      </c>
      <c r="E107" s="274" t="s">
        <v>180</v>
      </c>
      <c r="F107" s="274" t="s">
        <v>480</v>
      </c>
      <c r="G107" s="274" t="s">
        <v>481</v>
      </c>
      <c r="H107" s="274" t="s">
        <v>482</v>
      </c>
      <c r="I107" s="291" t="s">
        <v>550</v>
      </c>
      <c r="J107" s="291" t="s">
        <v>551</v>
      </c>
      <c r="K107" s="274" t="s">
        <v>550</v>
      </c>
      <c r="L107" s="300">
        <v>166776</v>
      </c>
      <c r="M107" s="274" t="s">
        <v>140</v>
      </c>
      <c r="N107" s="274" t="s">
        <v>139</v>
      </c>
      <c r="O107" s="284">
        <v>96.306910999999999</v>
      </c>
      <c r="P107" s="284">
        <v>25.599250000000001</v>
      </c>
      <c r="Q107" s="285">
        <v>0</v>
      </c>
      <c r="R107" s="414">
        <v>11</v>
      </c>
      <c r="S107" s="414">
        <v>48</v>
      </c>
      <c r="T107" s="287">
        <f>IF(CampList[[#This Row],[HH]]&gt;0,CampList[[#This Row],[Total]]/CampList[[#This Row],[HH]],"NA")</f>
        <v>4.3636363636363633</v>
      </c>
      <c r="U107" s="276" t="s">
        <v>465</v>
      </c>
      <c r="V107" s="276" t="s">
        <v>1013</v>
      </c>
      <c r="W107" s="276" t="s">
        <v>508</v>
      </c>
      <c r="X107" s="276" t="s">
        <v>743</v>
      </c>
      <c r="Y107" s="421">
        <v>41122</v>
      </c>
      <c r="Z107" s="288" t="s">
        <v>424</v>
      </c>
      <c r="AA107" s="274" t="s">
        <v>776</v>
      </c>
      <c r="AB107" s="290">
        <v>43008</v>
      </c>
      <c r="AC107" s="290"/>
      <c r="AD107" s="291" t="s">
        <v>1387</v>
      </c>
      <c r="AE107" s="276" t="str">
        <f ca="1">IFERROR(OFFSET(DistanceToCamp[Nearest Town],MATCH(CampList[[#This Row],[CP_Pcode]],DistanceToCamp[CP_Pcode],0)-1,0,1,1),"")</f>
        <v>Hpakant Town</v>
      </c>
      <c r="AF107" s="292">
        <f ca="1">IFERROR(OFFSET(DistanceToCamp[distance],MATCH(CampList[[#This Row],[CP_Pcode]],DistanceToCamp[CP_Pcode],0)-1,0,1,1),"")</f>
        <v>1.5942018764815451</v>
      </c>
      <c r="AG107" s="293">
        <f ca="1">IFERROR(INT(CampList[[#This Row],[Distance]]/5)+1,"")</f>
        <v>1</v>
      </c>
      <c r="AI107" s="489"/>
      <c r="AJ107" s="489"/>
    </row>
    <row r="108" spans="2:36" s="203" customFormat="1" ht="15.75" hidden="1" customHeight="1" x14ac:dyDescent="0.25">
      <c r="B108" s="283" t="s">
        <v>777</v>
      </c>
      <c r="C108" s="274" t="s">
        <v>378</v>
      </c>
      <c r="D108" s="274" t="s">
        <v>479</v>
      </c>
      <c r="E108" s="274" t="s">
        <v>299</v>
      </c>
      <c r="F108" s="274" t="s">
        <v>500</v>
      </c>
      <c r="G108" s="274" t="s">
        <v>144</v>
      </c>
      <c r="H108" s="274" t="s">
        <v>501</v>
      </c>
      <c r="I108" s="291" t="s">
        <v>724</v>
      </c>
      <c r="J108" s="291" t="s">
        <v>725</v>
      </c>
      <c r="K108" s="291" t="s">
        <v>145</v>
      </c>
      <c r="L108" s="291">
        <v>168236</v>
      </c>
      <c r="M108" s="274" t="s">
        <v>145</v>
      </c>
      <c r="N108" s="274" t="s">
        <v>143</v>
      </c>
      <c r="O108" s="284">
        <v>98.144502500000002</v>
      </c>
      <c r="P108" s="284">
        <v>26.890058</v>
      </c>
      <c r="Q108" s="302">
        <v>1393</v>
      </c>
      <c r="R108" s="376"/>
      <c r="S108" s="377"/>
      <c r="T108" s="287" t="str">
        <f>IF(CampList[[#This Row],[HH]]&gt;0,CampList[[#This Row],[Total]]/CampList[[#This Row],[HH]],"NA")</f>
        <v>NA</v>
      </c>
      <c r="U108" s="276" t="s">
        <v>465</v>
      </c>
      <c r="V108" s="276" t="s">
        <v>1013</v>
      </c>
      <c r="W108" s="276" t="s">
        <v>508</v>
      </c>
      <c r="X108" s="276" t="s">
        <v>786</v>
      </c>
      <c r="Y108" s="303"/>
      <c r="Z108" s="289"/>
      <c r="AA108" s="308" t="s">
        <v>775</v>
      </c>
      <c r="AB108" s="290">
        <v>42768</v>
      </c>
      <c r="AC108" s="290"/>
      <c r="AD108" s="283" t="s">
        <v>1249</v>
      </c>
      <c r="AE108" s="276" t="str">
        <f ca="1">IFERROR(OFFSET(DistanceToCamp[Nearest Town],MATCH(CampList[[#This Row],[CP_Pcode]],DistanceToCamp[CP_Pcode],0)-1,0,1,1),"")</f>
        <v>Khaunglanhpu Town</v>
      </c>
      <c r="AF108" s="292">
        <f ca="1">IFERROR(OFFSET(DistanceToCamp[distance],MATCH(CampList[[#This Row],[CP_Pcode]],DistanceToCamp[CP_Pcode],0)-1,0,1,1),"")</f>
        <v>28.422357500443528</v>
      </c>
      <c r="AG108" s="293">
        <f ca="1">IFERROR(INT(CampList[[#This Row],[Distance]]/5)+1,"")</f>
        <v>6</v>
      </c>
      <c r="AI108" s="489"/>
      <c r="AJ108" s="489"/>
    </row>
    <row r="109" spans="2:36" s="203" customFormat="1" ht="15.75" hidden="1" customHeight="1" x14ac:dyDescent="0.25">
      <c r="B109" s="283" t="s">
        <v>777</v>
      </c>
      <c r="C109" s="274" t="s">
        <v>378</v>
      </c>
      <c r="D109" s="274" t="s">
        <v>479</v>
      </c>
      <c r="E109" s="274" t="s">
        <v>5</v>
      </c>
      <c r="F109" s="274" t="s">
        <v>483</v>
      </c>
      <c r="G109" s="274" t="s">
        <v>151</v>
      </c>
      <c r="H109" s="274" t="s">
        <v>493</v>
      </c>
      <c r="I109" s="291" t="s">
        <v>682</v>
      </c>
      <c r="J109" s="291" t="s">
        <v>683</v>
      </c>
      <c r="K109" s="291"/>
      <c r="L109" s="291"/>
      <c r="M109" s="274" t="s">
        <v>470</v>
      </c>
      <c r="N109" s="274" t="s">
        <v>471</v>
      </c>
      <c r="O109" s="284">
        <v>97.601243999999994</v>
      </c>
      <c r="P109" s="284">
        <v>23.867713999999999</v>
      </c>
      <c r="Q109" s="297">
        <v>755</v>
      </c>
      <c r="R109" s="376">
        <v>0</v>
      </c>
      <c r="S109" s="377">
        <v>0</v>
      </c>
      <c r="T109" s="287" t="str">
        <f>IF(CampList[[#This Row],[HH]]&gt;0,CampList[[#This Row],[Total]]/CampList[[#This Row],[HH]],"NA")</f>
        <v>NA</v>
      </c>
      <c r="U109" s="276" t="s">
        <v>467</v>
      </c>
      <c r="V109" s="294" t="s">
        <v>1013</v>
      </c>
      <c r="W109" s="276" t="s">
        <v>508</v>
      </c>
      <c r="X109" s="294" t="s">
        <v>786</v>
      </c>
      <c r="Y109" s="295">
        <v>41365</v>
      </c>
      <c r="Z109" s="295" t="s">
        <v>942</v>
      </c>
      <c r="AA109" s="308" t="s">
        <v>776</v>
      </c>
      <c r="AB109" s="290">
        <v>41811</v>
      </c>
      <c r="AC109" s="290"/>
      <c r="AD109" s="283" t="s">
        <v>949</v>
      </c>
      <c r="AE109" s="276" t="str">
        <f ca="1">IFERROR(OFFSET(DistanceToCamp[Nearest Town],MATCH(CampList[[#This Row],[CP_Pcode]],DistanceToCamp[CP_Pcode],0)-1,0,1,1),"")</f>
        <v/>
      </c>
      <c r="AF109" s="292" t="str">
        <f ca="1">IFERROR(OFFSET(DistanceToCamp[distance],MATCH(CampList[[#This Row],[CP_Pcode]],DistanceToCamp[CP_Pcode],0)-1,0,1,1),"")</f>
        <v/>
      </c>
      <c r="AG109" s="293" t="str">
        <f ca="1">IFERROR(INT(CampList[[#This Row],[Distance]]/5)+1,"")</f>
        <v/>
      </c>
      <c r="AI109" s="489"/>
      <c r="AJ109" s="489"/>
    </row>
    <row r="110" spans="2:36" s="203" customFormat="1" ht="15.75" hidden="1" customHeight="1" x14ac:dyDescent="0.25">
      <c r="B110" s="283" t="s">
        <v>777</v>
      </c>
      <c r="C110" s="274" t="s">
        <v>378</v>
      </c>
      <c r="D110" s="274" t="s">
        <v>479</v>
      </c>
      <c r="E110" s="274" t="s">
        <v>237</v>
      </c>
      <c r="F110" s="274" t="s">
        <v>485</v>
      </c>
      <c r="G110" s="274" t="s">
        <v>309</v>
      </c>
      <c r="H110" s="274" t="s">
        <v>486</v>
      </c>
      <c r="I110" s="291" t="s">
        <v>668</v>
      </c>
      <c r="J110" s="291" t="s">
        <v>669</v>
      </c>
      <c r="K110" s="291" t="s">
        <v>668</v>
      </c>
      <c r="L110" s="291">
        <v>165772</v>
      </c>
      <c r="M110" s="274" t="s">
        <v>1053</v>
      </c>
      <c r="N110" s="274" t="s">
        <v>313</v>
      </c>
      <c r="O110" s="284">
        <v>97.551507000000001</v>
      </c>
      <c r="P110" s="284">
        <v>24.747212999999999</v>
      </c>
      <c r="Q110" s="297">
        <v>221</v>
      </c>
      <c r="R110" s="376">
        <v>0</v>
      </c>
      <c r="S110" s="377">
        <v>0</v>
      </c>
      <c r="T110" s="287" t="str">
        <f>IF(CampList[[#This Row],[HH]]&gt;0,CampList[[#This Row],[Total]]/CampList[[#This Row],[HH]],"NA")</f>
        <v>NA</v>
      </c>
      <c r="U110" s="276" t="s">
        <v>467</v>
      </c>
      <c r="V110" s="294" t="s">
        <v>1013</v>
      </c>
      <c r="W110" s="276" t="s">
        <v>508</v>
      </c>
      <c r="X110" s="294" t="s">
        <v>786</v>
      </c>
      <c r="Y110" s="295">
        <v>40695</v>
      </c>
      <c r="Z110" s="295" t="s">
        <v>943</v>
      </c>
      <c r="AA110" s="308" t="s">
        <v>776</v>
      </c>
      <c r="AB110" s="290">
        <v>42180</v>
      </c>
      <c r="AC110" s="290"/>
      <c r="AD110" s="283" t="s">
        <v>1067</v>
      </c>
      <c r="AE110" s="276" t="str">
        <f ca="1">IFERROR(OFFSET(DistanceToCamp[Nearest Town],MATCH(CampList[[#This Row],[CP_Pcode]],DistanceToCamp[CP_Pcode],0)-1,0,1,1),"")</f>
        <v>Laiza town</v>
      </c>
      <c r="AF110" s="292">
        <f ca="1">IFERROR(OFFSET(DistanceToCamp[distance],MATCH(CampList[[#This Row],[CP_Pcode]],DistanceToCamp[CP_Pcode],0)-1,0,1,1),"")</f>
        <v>1.857513522619473</v>
      </c>
      <c r="AG110" s="293">
        <f ca="1">IFERROR(INT(CampList[[#This Row],[Distance]]/5)+1,"")</f>
        <v>1</v>
      </c>
      <c r="AI110" s="489"/>
      <c r="AJ110" s="489"/>
    </row>
    <row r="111" spans="2:36" s="203" customFormat="1" ht="15.75" customHeight="1" x14ac:dyDescent="0.25">
      <c r="B111" s="283" t="s">
        <v>460</v>
      </c>
      <c r="C111" s="274" t="s">
        <v>378</v>
      </c>
      <c r="D111" s="274" t="s">
        <v>479</v>
      </c>
      <c r="E111" s="274" t="s">
        <v>180</v>
      </c>
      <c r="F111" s="274" t="s">
        <v>480</v>
      </c>
      <c r="G111" s="274" t="s">
        <v>481</v>
      </c>
      <c r="H111" s="274" t="s">
        <v>482</v>
      </c>
      <c r="I111" s="291" t="s">
        <v>539</v>
      </c>
      <c r="J111" s="291" t="s">
        <v>540</v>
      </c>
      <c r="K111" s="291" t="s">
        <v>539</v>
      </c>
      <c r="L111" s="291">
        <v>166783</v>
      </c>
      <c r="M111" s="274" t="s">
        <v>72</v>
      </c>
      <c r="N111" s="274" t="s">
        <v>71</v>
      </c>
      <c r="O111" s="284">
        <v>96.283377000000002</v>
      </c>
      <c r="P111" s="284">
        <v>25.582065</v>
      </c>
      <c r="Q111" s="285">
        <v>0</v>
      </c>
      <c r="R111" s="414">
        <v>5</v>
      </c>
      <c r="S111" s="654">
        <v>26</v>
      </c>
      <c r="T111" s="287">
        <f>IF(CampList[[#This Row],[HH]]&gt;0,CampList[[#This Row],[Total]]/CampList[[#This Row],[HH]],"NA")</f>
        <v>5.2</v>
      </c>
      <c r="U111" s="276" t="s">
        <v>465</v>
      </c>
      <c r="V111" s="276" t="s">
        <v>1013</v>
      </c>
      <c r="W111" s="276" t="s">
        <v>508</v>
      </c>
      <c r="X111" s="224" t="s">
        <v>743</v>
      </c>
      <c r="Y111" s="421">
        <v>41487</v>
      </c>
      <c r="Z111" s="288" t="s">
        <v>462</v>
      </c>
      <c r="AA111" s="308" t="s">
        <v>776</v>
      </c>
      <c r="AB111" s="290">
        <v>43008</v>
      </c>
      <c r="AC111" s="290"/>
      <c r="AD111" s="283" t="s">
        <v>1348</v>
      </c>
      <c r="AE111" s="276" t="str">
        <f ca="1">IFERROR(OFFSET(DistanceToCamp[Nearest Town],MATCH(CampList[[#This Row],[CP_Pcode]],DistanceToCamp[CP_Pcode],0)-1,0,1,1),"")</f>
        <v>Hpakant Town</v>
      </c>
      <c r="AF111" s="292">
        <f ca="1">IFERROR(OFFSET(DistanceToCamp[distance],MATCH(CampList[[#This Row],[CP_Pcode]],DistanceToCamp[CP_Pcode],0)-1,0,1,1),"")</f>
        <v>4.4704963044882238</v>
      </c>
      <c r="AG111" s="293">
        <f ca="1">IFERROR(INT(CampList[[#This Row],[Distance]]/5)+1,"")</f>
        <v>1</v>
      </c>
      <c r="AI111" s="489"/>
      <c r="AJ111" s="489"/>
    </row>
    <row r="112" spans="2:36" s="203" customFormat="1" ht="15.75" hidden="1" customHeight="1" x14ac:dyDescent="0.25">
      <c r="B112" s="283" t="s">
        <v>777</v>
      </c>
      <c r="C112" s="274" t="s">
        <v>378</v>
      </c>
      <c r="D112" s="274" t="s">
        <v>479</v>
      </c>
      <c r="E112" s="274" t="s">
        <v>237</v>
      </c>
      <c r="F112" s="274" t="s">
        <v>485</v>
      </c>
      <c r="G112" s="274" t="s">
        <v>361</v>
      </c>
      <c r="H112" s="274" t="s">
        <v>502</v>
      </c>
      <c r="I112" s="274"/>
      <c r="J112" s="274"/>
      <c r="K112" s="274"/>
      <c r="L112" s="274"/>
      <c r="M112" s="274" t="s">
        <v>35</v>
      </c>
      <c r="N112" s="274" t="s">
        <v>360</v>
      </c>
      <c r="O112" s="284"/>
      <c r="P112" s="284"/>
      <c r="Q112" s="301"/>
      <c r="R112" s="376">
        <v>0</v>
      </c>
      <c r="S112" s="377">
        <v>0</v>
      </c>
      <c r="T112" s="287" t="str">
        <f>IF(CampList[[#This Row],[HH]]&gt;0,CampList[[#This Row],[Total]]/CampList[[#This Row],[HH]],"NA")</f>
        <v>NA</v>
      </c>
      <c r="U112" s="276" t="s">
        <v>465</v>
      </c>
      <c r="V112" s="294" t="s">
        <v>1013</v>
      </c>
      <c r="W112" s="276" t="s">
        <v>508</v>
      </c>
      <c r="X112" s="294"/>
      <c r="Y112" s="310"/>
      <c r="Z112" s="311"/>
      <c r="AA112" s="308"/>
      <c r="AB112" s="290">
        <v>41712</v>
      </c>
      <c r="AC112" s="290"/>
      <c r="AD112" s="283" t="s">
        <v>883</v>
      </c>
      <c r="AE112" s="276" t="str">
        <f ca="1">IFERROR(OFFSET(DistanceToCamp[Nearest Town],MATCH(CampList[[#This Row],[CP_Pcode]],DistanceToCamp[CP_Pcode],0)-1,0,1,1),"")</f>
        <v/>
      </c>
      <c r="AF112" s="292" t="str">
        <f ca="1">IFERROR(OFFSET(DistanceToCamp[distance],MATCH(CampList[[#This Row],[CP_Pcode]],DistanceToCamp[CP_Pcode],0)-1,0,1,1),"")</f>
        <v/>
      </c>
      <c r="AG112" s="293" t="str">
        <f ca="1">IFERROR(INT(CampList[[#This Row],[Distance]]/5)+1,"")</f>
        <v/>
      </c>
      <c r="AI112" s="489"/>
      <c r="AJ112" s="489"/>
    </row>
    <row r="113" spans="2:36" s="203" customFormat="1" ht="15.75" hidden="1" customHeight="1" x14ac:dyDescent="0.25">
      <c r="B113" s="283" t="s">
        <v>777</v>
      </c>
      <c r="C113" s="274" t="s">
        <v>378</v>
      </c>
      <c r="D113" s="274" t="s">
        <v>479</v>
      </c>
      <c r="E113" s="274" t="s">
        <v>5</v>
      </c>
      <c r="F113" s="274" t="s">
        <v>483</v>
      </c>
      <c r="G113" s="274" t="s">
        <v>151</v>
      </c>
      <c r="H113" s="274" t="s">
        <v>493</v>
      </c>
      <c r="I113" s="291" t="s">
        <v>678</v>
      </c>
      <c r="J113" s="291" t="s">
        <v>679</v>
      </c>
      <c r="K113" s="291"/>
      <c r="L113" s="291"/>
      <c r="M113" s="274" t="s">
        <v>158</v>
      </c>
      <c r="N113" s="274" t="s">
        <v>157</v>
      </c>
      <c r="O113" s="284">
        <v>97.585667000000001</v>
      </c>
      <c r="P113" s="284">
        <v>23.9055</v>
      </c>
      <c r="Q113" s="297">
        <v>745</v>
      </c>
      <c r="R113" s="376">
        <v>0</v>
      </c>
      <c r="S113" s="377">
        <v>0</v>
      </c>
      <c r="T113" s="287" t="str">
        <f>IF(CampList[[#This Row],[HH]]&gt;0,CampList[[#This Row],[Total]]/CampList[[#This Row],[HH]],"NA")</f>
        <v>NA</v>
      </c>
      <c r="U113" s="276" t="s">
        <v>467</v>
      </c>
      <c r="V113" s="294" t="s">
        <v>1013</v>
      </c>
      <c r="W113" s="276" t="s">
        <v>508</v>
      </c>
      <c r="X113" s="294" t="s">
        <v>787</v>
      </c>
      <c r="Y113" s="295">
        <v>41122</v>
      </c>
      <c r="Z113" s="295" t="s">
        <v>942</v>
      </c>
      <c r="AA113" s="308" t="s">
        <v>776</v>
      </c>
      <c r="AB113" s="290">
        <v>42235</v>
      </c>
      <c r="AC113" s="290"/>
      <c r="AD113" s="283" t="s">
        <v>1082</v>
      </c>
      <c r="AE113" s="276" t="str">
        <f ca="1">IFERROR(OFFSET(DistanceToCamp[Nearest Town],MATCH(CampList[[#This Row],[CP_Pcode]],DistanceToCamp[CP_Pcode],0)-1,0,1,1),"")</f>
        <v>Namhkan Town</v>
      </c>
      <c r="AF113" s="292">
        <f ca="1">IFERROR(OFFSET(DistanceToCamp[distance],MATCH(CampList[[#This Row],[CP_Pcode]],DistanceToCamp[CP_Pcode],0)-1,0,1,1),"")</f>
        <v>12.392289083396149</v>
      </c>
      <c r="AG113" s="293">
        <f ca="1">IFERROR(INT(CampList[[#This Row],[Distance]]/5)+1,"")</f>
        <v>3</v>
      </c>
      <c r="AI113" s="489"/>
      <c r="AJ113" s="489"/>
    </row>
    <row r="114" spans="2:36" s="203" customFormat="1" ht="15.75" customHeight="1" x14ac:dyDescent="0.25">
      <c r="B114" s="313" t="s">
        <v>460</v>
      </c>
      <c r="C114" s="275" t="s">
        <v>378</v>
      </c>
      <c r="D114" s="275" t="s">
        <v>479</v>
      </c>
      <c r="E114" s="275" t="s">
        <v>237</v>
      </c>
      <c r="F114" s="275" t="s">
        <v>485</v>
      </c>
      <c r="G114" s="275" t="s">
        <v>309</v>
      </c>
      <c r="H114" s="275" t="s">
        <v>486</v>
      </c>
      <c r="I114" s="275" t="s">
        <v>659</v>
      </c>
      <c r="J114" s="300" t="s">
        <v>710</v>
      </c>
      <c r="K114" s="275" t="s">
        <v>711</v>
      </c>
      <c r="L114" s="275">
        <v>165895</v>
      </c>
      <c r="M114" s="275" t="s">
        <v>333</v>
      </c>
      <c r="N114" s="275" t="s">
        <v>332</v>
      </c>
      <c r="O114" s="286">
        <v>97.915833000000006</v>
      </c>
      <c r="P114" s="286">
        <v>25.220278</v>
      </c>
      <c r="Q114" s="302">
        <v>2404</v>
      </c>
      <c r="R114" s="654">
        <v>132</v>
      </c>
      <c r="S114" s="654">
        <v>522</v>
      </c>
      <c r="T114" s="287">
        <f>IF(CampList[[#This Row],[HH]]&gt;0,CampList[[#This Row],[Total]]/CampList[[#This Row],[HH]],"NA")</f>
        <v>3.9545454545454546</v>
      </c>
      <c r="U114" s="224" t="s">
        <v>467</v>
      </c>
      <c r="V114" s="276" t="s">
        <v>1013</v>
      </c>
      <c r="W114" s="224" t="s">
        <v>508</v>
      </c>
      <c r="X114" s="224" t="s">
        <v>787</v>
      </c>
      <c r="Y114" s="422">
        <v>40848</v>
      </c>
      <c r="Z114" s="302" t="s">
        <v>943</v>
      </c>
      <c r="AA114" s="275" t="s">
        <v>776</v>
      </c>
      <c r="AB114" s="290">
        <v>43008</v>
      </c>
      <c r="AC114" s="290"/>
      <c r="AD114" s="304" t="s">
        <v>1320</v>
      </c>
      <c r="AE114" s="305" t="str">
        <f ca="1">IFERROR(OFFSET(DistanceToCamp[Nearest Town],MATCH(CampList[[#This Row],[CP_Pcode]],DistanceToCamp[CP_Pcode],0)-1,0,1,1),"")</f>
        <v>Sadung Town</v>
      </c>
      <c r="AF114" s="292">
        <f ca="1">IFERROR(OFFSET(DistanceToCamp[distance],MATCH(CampList[[#This Row],[CP_Pcode]],DistanceToCamp[CP_Pcode],0)-1,0,1,1),"")</f>
        <v>18.198335991626355</v>
      </c>
      <c r="AG114" s="306">
        <f ca="1">IFERROR(INT(CampList[[#This Row],[Distance]]/5)+1,"")</f>
        <v>4</v>
      </c>
      <c r="AI114" s="489"/>
      <c r="AJ114" s="489"/>
    </row>
    <row r="115" spans="2:36" s="203" customFormat="1" ht="15.75" hidden="1" customHeight="1" x14ac:dyDescent="0.25">
      <c r="B115" s="283" t="s">
        <v>777</v>
      </c>
      <c r="C115" s="274" t="s">
        <v>378</v>
      </c>
      <c r="D115" s="274" t="s">
        <v>479</v>
      </c>
      <c r="E115" s="274" t="s">
        <v>180</v>
      </c>
      <c r="F115" s="274" t="s">
        <v>480</v>
      </c>
      <c r="G115" s="274" t="s">
        <v>481</v>
      </c>
      <c r="H115" s="274" t="s">
        <v>482</v>
      </c>
      <c r="I115" s="291" t="s">
        <v>539</v>
      </c>
      <c r="J115" s="291" t="s">
        <v>540</v>
      </c>
      <c r="K115" s="291" t="s">
        <v>649</v>
      </c>
      <c r="L115" s="291">
        <v>166790</v>
      </c>
      <c r="M115" s="274" t="s">
        <v>94</v>
      </c>
      <c r="N115" s="274" t="s">
        <v>93</v>
      </c>
      <c r="O115" s="284"/>
      <c r="P115" s="284"/>
      <c r="Q115" s="301"/>
      <c r="R115" s="376">
        <v>0</v>
      </c>
      <c r="S115" s="377">
        <v>0</v>
      </c>
      <c r="T115" s="287" t="str">
        <f>IF(CampList[[#This Row],[HH]]&gt;0,CampList[[#This Row],[Total]]/CampList[[#This Row],[HH]],"NA")</f>
        <v>NA</v>
      </c>
      <c r="U115" s="276" t="s">
        <v>465</v>
      </c>
      <c r="V115" s="294" t="s">
        <v>1013</v>
      </c>
      <c r="W115" s="276" t="s">
        <v>508</v>
      </c>
      <c r="X115" s="294"/>
      <c r="Y115" s="310"/>
      <c r="Z115" s="311"/>
      <c r="AA115" s="403"/>
      <c r="AB115" s="314"/>
      <c r="AC115" s="314"/>
      <c r="AD115" s="283" t="s">
        <v>542</v>
      </c>
      <c r="AE115" s="276" t="str">
        <f ca="1">IFERROR(OFFSET(DistanceToCamp[Nearest Town],MATCH(CampList[[#This Row],[CP_Pcode]],DistanceToCamp[CP_Pcode],0)-1,0,1,1),"")</f>
        <v/>
      </c>
      <c r="AF115" s="292" t="str">
        <f ca="1">IFERROR(OFFSET(DistanceToCamp[distance],MATCH(CampList[[#This Row],[CP_Pcode]],DistanceToCamp[CP_Pcode],0)-1,0,1,1),"")</f>
        <v/>
      </c>
      <c r="AG115" s="293" t="str">
        <f ca="1">IFERROR(INT(CampList[[#This Row],[Distance]]/5)+1,"")</f>
        <v/>
      </c>
      <c r="AI115" s="489"/>
      <c r="AJ115" s="489"/>
    </row>
    <row r="116" spans="2:36" s="203" customFormat="1" ht="15.75" customHeight="1" x14ac:dyDescent="0.25">
      <c r="B116" s="308" t="s">
        <v>460</v>
      </c>
      <c r="C116" s="274" t="s">
        <v>378</v>
      </c>
      <c r="D116" s="274" t="s">
        <v>479</v>
      </c>
      <c r="E116" s="274" t="s">
        <v>237</v>
      </c>
      <c r="F116" s="274" t="s">
        <v>485</v>
      </c>
      <c r="G116" s="274" t="s">
        <v>309</v>
      </c>
      <c r="H116" s="274" t="s">
        <v>486</v>
      </c>
      <c r="I116" s="274" t="s">
        <v>711</v>
      </c>
      <c r="J116" s="274" t="s">
        <v>710</v>
      </c>
      <c r="K116" s="298" t="s">
        <v>1124</v>
      </c>
      <c r="L116" s="298"/>
      <c r="M116" s="274" t="s">
        <v>335</v>
      </c>
      <c r="N116" s="274" t="s">
        <v>334</v>
      </c>
      <c r="O116" s="284">
        <v>97.807182999999995</v>
      </c>
      <c r="P116" s="284">
        <v>25.200333000000001</v>
      </c>
      <c r="Q116" s="285">
        <v>1023</v>
      </c>
      <c r="R116" s="414">
        <v>149</v>
      </c>
      <c r="S116" s="653">
        <v>908</v>
      </c>
      <c r="T116" s="287">
        <f>IF(CampList[[#This Row],[HH]]&gt;0,CampList[[#This Row],[Total]]/CampList[[#This Row],[HH]],"NA")</f>
        <v>6.0939597315436238</v>
      </c>
      <c r="U116" s="276" t="s">
        <v>467</v>
      </c>
      <c r="V116" s="276" t="s">
        <v>1013</v>
      </c>
      <c r="W116" s="276" t="s">
        <v>508</v>
      </c>
      <c r="X116" s="276" t="s">
        <v>786</v>
      </c>
      <c r="Y116" s="421">
        <v>40878</v>
      </c>
      <c r="Z116" s="288" t="s">
        <v>424</v>
      </c>
      <c r="AA116" s="308" t="s">
        <v>776</v>
      </c>
      <c r="AB116" s="290">
        <v>43008</v>
      </c>
      <c r="AC116" s="290"/>
      <c r="AD116" s="283" t="s">
        <v>1388</v>
      </c>
      <c r="AE116" s="276" t="str">
        <f ca="1">IFERROR(OFFSET(DistanceToCamp[Nearest Town],MATCH(CampList[[#This Row],[CP_Pcode]],DistanceToCamp[CP_Pcode],0)-1,0,1,1),"")</f>
        <v>Sadung Town</v>
      </c>
      <c r="AF116" s="292">
        <f ca="1">IFERROR(OFFSET(DistanceToCamp[distance],MATCH(CampList[[#This Row],[CP_Pcode]],DistanceToCamp[CP_Pcode],0)-1,0,1,1),"")</f>
        <v>21.287604662770121</v>
      </c>
      <c r="AG116" s="293">
        <f ca="1">IFERROR(INT(CampList[[#This Row],[Distance]]/5)+1,"")</f>
        <v>5</v>
      </c>
      <c r="AI116" s="489"/>
      <c r="AJ116" s="489"/>
    </row>
    <row r="117" spans="2:36" s="203" customFormat="1" ht="15.75" customHeight="1" x14ac:dyDescent="0.25">
      <c r="B117" s="313" t="s">
        <v>460</v>
      </c>
      <c r="C117" s="275" t="s">
        <v>378</v>
      </c>
      <c r="D117" s="275" t="s">
        <v>479</v>
      </c>
      <c r="E117" s="275" t="s">
        <v>237</v>
      </c>
      <c r="F117" s="275" t="s">
        <v>485</v>
      </c>
      <c r="G117" s="275" t="s">
        <v>309</v>
      </c>
      <c r="H117" s="275" t="s">
        <v>486</v>
      </c>
      <c r="I117" s="275" t="s">
        <v>668</v>
      </c>
      <c r="J117" s="300" t="s">
        <v>669</v>
      </c>
      <c r="K117" s="275" t="s">
        <v>668</v>
      </c>
      <c r="L117" s="275">
        <v>165772</v>
      </c>
      <c r="M117" s="275" t="s">
        <v>351</v>
      </c>
      <c r="N117" s="275" t="s">
        <v>350</v>
      </c>
      <c r="O117" s="286">
        <v>97.546893999999995</v>
      </c>
      <c r="P117" s="286">
        <v>24.755253</v>
      </c>
      <c r="Q117" s="302">
        <v>316</v>
      </c>
      <c r="R117" s="653">
        <v>1411</v>
      </c>
      <c r="S117" s="653">
        <v>6904</v>
      </c>
      <c r="T117" s="287">
        <f>IF(CampList[[#This Row],[HH]]&gt;0,CampList[[#This Row],[Total]]/CampList[[#This Row],[HH]],"NA")</f>
        <v>4.8929836995038976</v>
      </c>
      <c r="U117" s="224" t="s">
        <v>467</v>
      </c>
      <c r="V117" s="276" t="s">
        <v>1013</v>
      </c>
      <c r="W117" s="224" t="s">
        <v>508</v>
      </c>
      <c r="X117" s="224" t="s">
        <v>743</v>
      </c>
      <c r="Y117" s="422">
        <v>40695</v>
      </c>
      <c r="Z117" s="302" t="s">
        <v>943</v>
      </c>
      <c r="AA117" s="275" t="s">
        <v>776</v>
      </c>
      <c r="AB117" s="290">
        <v>43008</v>
      </c>
      <c r="AC117" s="290"/>
      <c r="AD117" s="304" t="s">
        <v>1321</v>
      </c>
      <c r="AE117" s="305" t="str">
        <f ca="1">IFERROR(OFFSET(DistanceToCamp[Nearest Town],MATCH(CampList[[#This Row],[CP_Pcode]],DistanceToCamp[CP_Pcode],0)-1,0,1,1),"")</f>
        <v>Laiza town</v>
      </c>
      <c r="AF117" s="292">
        <f ca="1">IFERROR(OFFSET(DistanceToCamp[distance],MATCH(CampList[[#This Row],[CP_Pcode]],DistanceToCamp[CP_Pcode],0)-1,0,1,1),"")</f>
        <v>1.7420415164460403</v>
      </c>
      <c r="AG117" s="306">
        <f ca="1">IFERROR(INT(CampList[[#This Row],[Distance]]/5)+1,"")</f>
        <v>1</v>
      </c>
      <c r="AI117" s="489"/>
      <c r="AJ117" s="489"/>
    </row>
    <row r="118" spans="2:36" s="203" customFormat="1" ht="15.75" hidden="1" customHeight="1" x14ac:dyDescent="0.25">
      <c r="B118" s="283" t="s">
        <v>777</v>
      </c>
      <c r="C118" s="274" t="s">
        <v>378</v>
      </c>
      <c r="D118" s="274" t="s">
        <v>479</v>
      </c>
      <c r="E118" s="274" t="s">
        <v>299</v>
      </c>
      <c r="F118" s="274" t="s">
        <v>500</v>
      </c>
      <c r="G118" s="274" t="s">
        <v>819</v>
      </c>
      <c r="H118" s="274" t="s">
        <v>820</v>
      </c>
      <c r="I118" s="274"/>
      <c r="J118" s="274"/>
      <c r="K118" s="274"/>
      <c r="L118" s="274"/>
      <c r="M118" s="274" t="s">
        <v>821</v>
      </c>
      <c r="N118" s="274" t="s">
        <v>822</v>
      </c>
      <c r="O118" s="284">
        <v>97.586470000000006</v>
      </c>
      <c r="P118" s="284">
        <v>27.274059999999999</v>
      </c>
      <c r="Q118" s="302">
        <v>403</v>
      </c>
      <c r="R118" s="224"/>
      <c r="S118" s="312"/>
      <c r="T118" s="287" t="str">
        <f>IF(CampList[[#This Row],[HH]]&gt;0,CampList[[#This Row],[Total]]/CampList[[#This Row],[HH]],"NA")</f>
        <v>NA</v>
      </c>
      <c r="U118" s="276" t="s">
        <v>465</v>
      </c>
      <c r="V118" s="294" t="s">
        <v>1013</v>
      </c>
      <c r="W118" s="276" t="s">
        <v>508</v>
      </c>
      <c r="X118" s="276" t="s">
        <v>786</v>
      </c>
      <c r="Y118" s="303">
        <v>41518</v>
      </c>
      <c r="Z118" s="321"/>
      <c r="AA118" s="274" t="s">
        <v>776</v>
      </c>
      <c r="AB118" s="290">
        <v>42180</v>
      </c>
      <c r="AC118" s="290"/>
      <c r="AD118" s="283" t="s">
        <v>1068</v>
      </c>
      <c r="AE118" s="276" t="str">
        <f ca="1">IFERROR(OFFSET(DistanceToCamp[Nearest Town],MATCH(CampList[[#This Row],[CP_Pcode]],DistanceToCamp[CP_Pcode],0)-1,0,1,1),"")</f>
        <v>Machanbaw Town</v>
      </c>
      <c r="AF118" s="292">
        <f ca="1">IFERROR(OFFSET(DistanceToCamp[distance],MATCH(CampList[[#This Row],[CP_Pcode]],DistanceToCamp[CP_Pcode],0)-1,0,1,1),"")</f>
        <v>1.136583238544624</v>
      </c>
      <c r="AG118" s="293">
        <f ca="1">IFERROR(INT(CampList[[#This Row],[Distance]]/5)+1,"")</f>
        <v>1</v>
      </c>
      <c r="AI118" s="489"/>
      <c r="AJ118" s="489"/>
    </row>
    <row r="119" spans="2:36" s="203" customFormat="1" ht="15.75" hidden="1" customHeight="1" x14ac:dyDescent="0.25">
      <c r="B119" s="283" t="s">
        <v>777</v>
      </c>
      <c r="C119" s="274" t="s">
        <v>378</v>
      </c>
      <c r="D119" s="274" t="s">
        <v>479</v>
      </c>
      <c r="E119" s="274" t="s">
        <v>5</v>
      </c>
      <c r="F119" s="274" t="s">
        <v>483</v>
      </c>
      <c r="G119" s="274" t="s">
        <v>151</v>
      </c>
      <c r="H119" s="274" t="s">
        <v>493</v>
      </c>
      <c r="I119" s="291" t="s">
        <v>800</v>
      </c>
      <c r="J119" s="291" t="s">
        <v>801</v>
      </c>
      <c r="K119" s="291" t="s">
        <v>799</v>
      </c>
      <c r="L119" s="291">
        <v>167391</v>
      </c>
      <c r="M119" s="274" t="s">
        <v>804</v>
      </c>
      <c r="N119" s="274" t="s">
        <v>798</v>
      </c>
      <c r="O119" s="284">
        <v>97.710989999999995</v>
      </c>
      <c r="P119" s="320">
        <v>24.181640000000002</v>
      </c>
      <c r="Q119" s="301"/>
      <c r="R119" s="376">
        <v>0</v>
      </c>
      <c r="S119" s="377">
        <v>0</v>
      </c>
      <c r="T119" s="287" t="str">
        <f>IF(CampList[[#This Row],[HH]]&gt;0,CampList[[#This Row],[Total]]/CampList[[#This Row],[HH]],"NA")</f>
        <v>NA</v>
      </c>
      <c r="U119" s="276" t="s">
        <v>465</v>
      </c>
      <c r="V119" s="294" t="s">
        <v>1013</v>
      </c>
      <c r="W119" s="276" t="s">
        <v>508</v>
      </c>
      <c r="X119" s="294"/>
      <c r="Y119" s="310"/>
      <c r="Z119" s="311"/>
      <c r="AA119" s="308" t="s">
        <v>776</v>
      </c>
      <c r="AB119" s="290">
        <v>41701</v>
      </c>
      <c r="AC119" s="290"/>
      <c r="AD119" s="283" t="s">
        <v>872</v>
      </c>
      <c r="AE119" s="276" t="str">
        <f ca="1">IFERROR(OFFSET(DistanceToCamp[Nearest Town],MATCH(CampList[[#This Row],[CP_Pcode]],DistanceToCamp[CP_Pcode],0)-1,0,1,1),"")</f>
        <v/>
      </c>
      <c r="AF119" s="292" t="str">
        <f ca="1">IFERROR(OFFSET(DistanceToCamp[distance],MATCH(CampList[[#This Row],[CP_Pcode]],DistanceToCamp[CP_Pcode],0)-1,0,1,1),"")</f>
        <v/>
      </c>
      <c r="AG119" s="293" t="str">
        <f ca="1">IFERROR(INT(CampList[[#This Row],[Distance]]/5)+1,"")</f>
        <v/>
      </c>
      <c r="AI119" s="489"/>
      <c r="AJ119" s="489"/>
    </row>
    <row r="120" spans="2:36" s="203" customFormat="1" ht="15.75" customHeight="1" x14ac:dyDescent="0.25">
      <c r="B120" s="313" t="s">
        <v>460</v>
      </c>
      <c r="C120" s="275" t="s">
        <v>378</v>
      </c>
      <c r="D120" s="275" t="s">
        <v>479</v>
      </c>
      <c r="E120" s="275" t="s">
        <v>237</v>
      </c>
      <c r="F120" s="275" t="s">
        <v>485</v>
      </c>
      <c r="G120" s="275" t="s">
        <v>309</v>
      </c>
      <c r="H120" s="275" t="s">
        <v>486</v>
      </c>
      <c r="I120" s="275" t="s">
        <v>696</v>
      </c>
      <c r="J120" s="300" t="s">
        <v>697</v>
      </c>
      <c r="K120" s="275" t="s">
        <v>698</v>
      </c>
      <c r="L120" s="275">
        <v>165790</v>
      </c>
      <c r="M120" s="275" t="s">
        <v>321</v>
      </c>
      <c r="N120" s="275" t="s">
        <v>320</v>
      </c>
      <c r="O120" s="286">
        <v>97.715230000000005</v>
      </c>
      <c r="P120" s="286">
        <v>24.980250000000002</v>
      </c>
      <c r="Q120" s="302">
        <v>984</v>
      </c>
      <c r="R120" s="414">
        <v>437</v>
      </c>
      <c r="S120" s="653">
        <v>1938</v>
      </c>
      <c r="T120" s="287">
        <f>IF(CampList[[#This Row],[HH]]&gt;0,CampList[[#This Row],[Total]]/CampList[[#This Row],[HH]],"NA")</f>
        <v>4.4347826086956523</v>
      </c>
      <c r="U120" s="224" t="s">
        <v>467</v>
      </c>
      <c r="V120" s="276" t="s">
        <v>1013</v>
      </c>
      <c r="W120" s="224" t="s">
        <v>508</v>
      </c>
      <c r="X120" s="224" t="s">
        <v>786</v>
      </c>
      <c r="Y120" s="422">
        <v>40695</v>
      </c>
      <c r="Z120" s="302" t="s">
        <v>943</v>
      </c>
      <c r="AA120" s="275" t="s">
        <v>776</v>
      </c>
      <c r="AB120" s="290">
        <v>43008</v>
      </c>
      <c r="AC120" s="290"/>
      <c r="AD120" s="304" t="s">
        <v>1322</v>
      </c>
      <c r="AE120" s="305" t="str">
        <f ca="1">IFERROR(OFFSET(DistanceToCamp[Nearest Town],MATCH(CampList[[#This Row],[CP_Pcode]],DistanceToCamp[CP_Pcode],0)-1,0,1,1),"")</f>
        <v>Laiza town</v>
      </c>
      <c r="AF120" s="292">
        <f ca="1">IFERROR(OFFSET(DistanceToCamp[distance],MATCH(CampList[[#This Row],[CP_Pcode]],DistanceToCamp[CP_Pcode],0)-1,0,1,1),"")</f>
        <v>28.888856599204185</v>
      </c>
      <c r="AG120" s="306">
        <f ca="1">IFERROR(INT(CampList[[#This Row],[Distance]]/5)+1,"")</f>
        <v>6</v>
      </c>
      <c r="AI120" s="489"/>
      <c r="AJ120" s="489"/>
    </row>
    <row r="121" spans="2:36" s="203" customFormat="1" ht="15.75" customHeight="1" x14ac:dyDescent="0.25">
      <c r="B121" s="308" t="s">
        <v>460</v>
      </c>
      <c r="C121" s="274" t="s">
        <v>378</v>
      </c>
      <c r="D121" s="274" t="s">
        <v>479</v>
      </c>
      <c r="E121" s="274" t="s">
        <v>237</v>
      </c>
      <c r="F121" s="274" t="s">
        <v>485</v>
      </c>
      <c r="G121" s="274" t="s">
        <v>309</v>
      </c>
      <c r="H121" s="274" t="s">
        <v>486</v>
      </c>
      <c r="I121" s="274" t="s">
        <v>696</v>
      </c>
      <c r="J121" s="274" t="s">
        <v>697</v>
      </c>
      <c r="K121" s="296" t="s">
        <v>1148</v>
      </c>
      <c r="L121" s="296">
        <v>165792</v>
      </c>
      <c r="M121" s="274" t="s">
        <v>1048</v>
      </c>
      <c r="N121" s="274" t="s">
        <v>343</v>
      </c>
      <c r="O121" s="284">
        <v>97.751389000000003</v>
      </c>
      <c r="P121" s="284">
        <v>24.831944</v>
      </c>
      <c r="Q121" s="285">
        <v>2330</v>
      </c>
      <c r="R121" s="414">
        <v>186</v>
      </c>
      <c r="S121" s="414">
        <v>858</v>
      </c>
      <c r="T121" s="287">
        <f>IF(CampList[[#This Row],[HH]]&gt;0,CampList[[#This Row],[Total]]/CampList[[#This Row],[HH]],"NA")</f>
        <v>4.612903225806452</v>
      </c>
      <c r="U121" s="276" t="s">
        <v>467</v>
      </c>
      <c r="V121" s="276" t="s">
        <v>1013</v>
      </c>
      <c r="W121" s="276" t="s">
        <v>508</v>
      </c>
      <c r="X121" s="276" t="s">
        <v>786</v>
      </c>
      <c r="Y121" s="421">
        <v>40725</v>
      </c>
      <c r="Z121" s="288" t="s">
        <v>424</v>
      </c>
      <c r="AA121" s="274" t="s">
        <v>776</v>
      </c>
      <c r="AB121" s="290">
        <v>43008</v>
      </c>
      <c r="AC121" s="290"/>
      <c r="AD121" s="291" t="s">
        <v>1389</v>
      </c>
      <c r="AE121" s="276" t="str">
        <f ca="1">IFERROR(OFFSET(DistanceToCamp[Nearest Town],MATCH(CampList[[#This Row],[CP_Pcode]],DistanceToCamp[CP_Pcode],0)-1,0,1,1),"")</f>
        <v>Laiza town</v>
      </c>
      <c r="AF121" s="292">
        <f ca="1">IFERROR(OFFSET(DistanceToCamp[distance],MATCH(CampList[[#This Row],[CP_Pcode]],DistanceToCamp[CP_Pcode],0)-1,0,1,1),"")</f>
        <v>20.599512012485512</v>
      </c>
      <c r="AG121" s="293">
        <f ca="1">IFERROR(INT(CampList[[#This Row],[Distance]]/5)+1,"")</f>
        <v>5</v>
      </c>
      <c r="AI121" s="489"/>
      <c r="AJ121" s="489"/>
    </row>
    <row r="122" spans="2:36" s="203" customFormat="1" ht="15.75" customHeight="1" x14ac:dyDescent="0.25">
      <c r="B122" s="299" t="s">
        <v>460</v>
      </c>
      <c r="C122" s="275" t="s">
        <v>378</v>
      </c>
      <c r="D122" s="275" t="s">
        <v>479</v>
      </c>
      <c r="E122" s="275" t="s">
        <v>5</v>
      </c>
      <c r="F122" s="275" t="s">
        <v>483</v>
      </c>
      <c r="G122" s="275" t="s">
        <v>185</v>
      </c>
      <c r="H122" s="275" t="s">
        <v>487</v>
      </c>
      <c r="I122" s="275" t="s">
        <v>675</v>
      </c>
      <c r="J122" s="300" t="s">
        <v>676</v>
      </c>
      <c r="K122" s="275" t="s">
        <v>677</v>
      </c>
      <c r="L122" s="275">
        <v>167223</v>
      </c>
      <c r="M122" s="275" t="s">
        <v>196</v>
      </c>
      <c r="N122" s="275" t="s">
        <v>195</v>
      </c>
      <c r="O122" s="286">
        <v>97.568331999999998</v>
      </c>
      <c r="P122" s="286">
        <v>24.688338999999999</v>
      </c>
      <c r="Q122" s="302">
        <v>314</v>
      </c>
      <c r="R122" s="654">
        <v>1518</v>
      </c>
      <c r="S122" s="654">
        <v>8513</v>
      </c>
      <c r="T122" s="287">
        <f>IF(CampList[[#This Row],[HH]]&gt;0,CampList[[#This Row],[Total]]/CampList[[#This Row],[HH]],"NA")</f>
        <v>5.608036890645586</v>
      </c>
      <c r="U122" s="224" t="s">
        <v>467</v>
      </c>
      <c r="V122" s="276" t="s">
        <v>1013</v>
      </c>
      <c r="W122" s="224" t="s">
        <v>508</v>
      </c>
      <c r="X122" s="224" t="s">
        <v>786</v>
      </c>
      <c r="Y122" s="422">
        <v>41061</v>
      </c>
      <c r="Z122" s="302" t="s">
        <v>943</v>
      </c>
      <c r="AA122" s="275" t="s">
        <v>776</v>
      </c>
      <c r="AB122" s="290">
        <v>43008</v>
      </c>
      <c r="AC122" s="290"/>
      <c r="AD122" s="304" t="s">
        <v>1323</v>
      </c>
      <c r="AE122" s="305" t="str">
        <f ca="1">IFERROR(OFFSET(DistanceToCamp[Nearest Town],MATCH(CampList[[#This Row],[CP_Pcode]],DistanceToCamp[CP_Pcode],0)-1,0,1,1),"")</f>
        <v>Laiza town</v>
      </c>
      <c r="AF122" s="292">
        <f ca="1">IFERROR(OFFSET(DistanceToCamp[distance],MATCH(CampList[[#This Row],[CP_Pcode]],DistanceToCamp[CP_Pcode],0)-1,0,1,1),"")</f>
        <v>7.985347533011188</v>
      </c>
      <c r="AG122" s="306">
        <f ca="1">IFERROR(INT(CampList[[#This Row],[Distance]]/5)+1,"")</f>
        <v>2</v>
      </c>
      <c r="AI122" s="489"/>
      <c r="AJ122" s="489"/>
    </row>
    <row r="123" spans="2:36" s="203" customFormat="1" ht="15.75" customHeight="1" x14ac:dyDescent="0.25">
      <c r="B123" s="299" t="s">
        <v>460</v>
      </c>
      <c r="C123" s="275" t="s">
        <v>378</v>
      </c>
      <c r="D123" s="275" t="s">
        <v>479</v>
      </c>
      <c r="E123" s="275" t="s">
        <v>5</v>
      </c>
      <c r="F123" s="275" t="s">
        <v>483</v>
      </c>
      <c r="G123" s="275" t="s">
        <v>185</v>
      </c>
      <c r="H123" s="275" t="s">
        <v>487</v>
      </c>
      <c r="I123" s="275" t="s">
        <v>675</v>
      </c>
      <c r="J123" s="300" t="s">
        <v>676</v>
      </c>
      <c r="K123" s="275" t="s">
        <v>677</v>
      </c>
      <c r="L123" s="275">
        <v>167223</v>
      </c>
      <c r="M123" s="275" t="s">
        <v>194</v>
      </c>
      <c r="N123" s="275" t="s">
        <v>193</v>
      </c>
      <c r="O123" s="286">
        <v>97.573126000000002</v>
      </c>
      <c r="P123" s="286">
        <v>24.661905999999998</v>
      </c>
      <c r="Q123" s="302">
        <v>415</v>
      </c>
      <c r="R123" s="654">
        <v>717</v>
      </c>
      <c r="S123" s="654">
        <v>3615</v>
      </c>
      <c r="T123" s="287">
        <f>IF(CampList[[#This Row],[HH]]&gt;0,CampList[[#This Row],[Total]]/CampList[[#This Row],[HH]],"NA")</f>
        <v>5.0418410041841009</v>
      </c>
      <c r="U123" s="224" t="s">
        <v>467</v>
      </c>
      <c r="V123" s="276" t="s">
        <v>1013</v>
      </c>
      <c r="W123" s="224" t="s">
        <v>508</v>
      </c>
      <c r="X123" s="224" t="s">
        <v>786</v>
      </c>
      <c r="Y123" s="422">
        <v>40695</v>
      </c>
      <c r="Z123" s="302" t="s">
        <v>943</v>
      </c>
      <c r="AA123" s="275" t="s">
        <v>776</v>
      </c>
      <c r="AB123" s="290">
        <v>43008</v>
      </c>
      <c r="AC123" s="290"/>
      <c r="AD123" s="304" t="s">
        <v>1324</v>
      </c>
      <c r="AE123" s="305" t="str">
        <f ca="1">IFERROR(OFFSET(DistanceToCamp[Nearest Town],MATCH(CampList[[#This Row],[CP_Pcode]],DistanceToCamp[CP_Pcode],0)-1,0,1,1),"")</f>
        <v>Laiza town</v>
      </c>
      <c r="AF123" s="292">
        <f ca="1">IFERROR(OFFSET(DistanceToCamp[distance],MATCH(CampList[[#This Row],[CP_Pcode]],DistanceToCamp[CP_Pcode],0)-1,0,1,1),"")</f>
        <v>10.953347686331073</v>
      </c>
      <c r="AG123" s="306">
        <f ca="1">IFERROR(INT(CampList[[#This Row],[Distance]]/5)+1,"")</f>
        <v>3</v>
      </c>
      <c r="AI123" s="489"/>
      <c r="AJ123" s="489"/>
    </row>
    <row r="124" spans="2:36" s="203" customFormat="1" ht="15.75" customHeight="1" x14ac:dyDescent="0.25">
      <c r="B124" s="299" t="s">
        <v>460</v>
      </c>
      <c r="C124" s="275" t="s">
        <v>378</v>
      </c>
      <c r="D124" s="275" t="s">
        <v>479</v>
      </c>
      <c r="E124" s="275" t="s">
        <v>5</v>
      </c>
      <c r="F124" s="275" t="s">
        <v>483</v>
      </c>
      <c r="G124" s="275" t="s">
        <v>185</v>
      </c>
      <c r="H124" s="275" t="s">
        <v>487</v>
      </c>
      <c r="I124" s="275" t="s">
        <v>666</v>
      </c>
      <c r="J124" s="300" t="s">
        <v>667</v>
      </c>
      <c r="K124" s="275" t="s">
        <v>524</v>
      </c>
      <c r="L124" s="275">
        <v>167343</v>
      </c>
      <c r="M124" s="275" t="s">
        <v>192</v>
      </c>
      <c r="N124" s="275" t="s">
        <v>191</v>
      </c>
      <c r="O124" s="286">
        <v>97.537099999999995</v>
      </c>
      <c r="P124" s="286">
        <v>24.461033</v>
      </c>
      <c r="Q124" s="302">
        <v>360</v>
      </c>
      <c r="R124" s="653">
        <v>100</v>
      </c>
      <c r="S124" s="653">
        <v>457</v>
      </c>
      <c r="T124" s="287">
        <f>IF(CampList[[#This Row],[HH]]&gt;0,CampList[[#This Row],[Total]]/CampList[[#This Row],[HH]],"NA")</f>
        <v>4.57</v>
      </c>
      <c r="U124" s="224" t="s">
        <v>467</v>
      </c>
      <c r="V124" s="276" t="s">
        <v>1013</v>
      </c>
      <c r="W124" s="224" t="s">
        <v>508</v>
      </c>
      <c r="X124" s="224" t="s">
        <v>787</v>
      </c>
      <c r="Y124" s="422">
        <v>40756</v>
      </c>
      <c r="Z124" s="302" t="s">
        <v>943</v>
      </c>
      <c r="AA124" s="275" t="s">
        <v>776</v>
      </c>
      <c r="AB124" s="290">
        <v>43008</v>
      </c>
      <c r="AC124" s="290"/>
      <c r="AD124" s="304" t="s">
        <v>1325</v>
      </c>
      <c r="AE124" s="305" t="str">
        <f ca="1">IFERROR(OFFSET(DistanceToCamp[Nearest Town],MATCH(CampList[[#This Row],[CP_Pcode]],DistanceToCamp[CP_Pcode],0)-1,0,1,1),"")</f>
        <v>Dawthponeyan  Town</v>
      </c>
      <c r="AF124" s="292">
        <f ca="1">IFERROR(OFFSET(DistanceToCamp[distance],MATCH(CampList[[#This Row],[CP_Pcode]],DistanceToCamp[CP_Pcode],0)-1,0,1,1),"")</f>
        <v>18.65617244319267</v>
      </c>
      <c r="AG124" s="306">
        <f ca="1">IFERROR(INT(CampList[[#This Row],[Distance]]/5)+1,"")</f>
        <v>4</v>
      </c>
      <c r="AI124" s="489"/>
      <c r="AJ124" s="489"/>
    </row>
    <row r="125" spans="2:36" s="203" customFormat="1" ht="15.75" customHeight="1" x14ac:dyDescent="0.25">
      <c r="B125" s="299" t="s">
        <v>460</v>
      </c>
      <c r="C125" s="275" t="s">
        <v>378</v>
      </c>
      <c r="D125" s="275" t="s">
        <v>479</v>
      </c>
      <c r="E125" s="275" t="s">
        <v>5</v>
      </c>
      <c r="F125" s="275" t="s">
        <v>483</v>
      </c>
      <c r="G125" s="275" t="s">
        <v>185</v>
      </c>
      <c r="H125" s="275" t="s">
        <v>487</v>
      </c>
      <c r="I125" s="275" t="s">
        <v>702</v>
      </c>
      <c r="J125" s="300" t="s">
        <v>703</v>
      </c>
      <c r="K125" s="275" t="s">
        <v>704</v>
      </c>
      <c r="L125" s="275">
        <v>216913</v>
      </c>
      <c r="M125" s="275" t="s">
        <v>219</v>
      </c>
      <c r="N125" s="275" t="s">
        <v>218</v>
      </c>
      <c r="O125" s="286">
        <v>97.752667000000002</v>
      </c>
      <c r="P125" s="286">
        <v>24.2744</v>
      </c>
      <c r="Q125" s="302">
        <v>978</v>
      </c>
      <c r="R125" s="817">
        <v>651</v>
      </c>
      <c r="S125" s="417">
        <v>3602</v>
      </c>
      <c r="T125" s="287">
        <f>IF(CampList[[#This Row],[HH]]&gt;0,CampList[[#This Row],[Total]]/CampList[[#This Row],[HH]],"NA")</f>
        <v>5.5330261136712746</v>
      </c>
      <c r="U125" s="224" t="s">
        <v>467</v>
      </c>
      <c r="V125" s="276" t="s">
        <v>1013</v>
      </c>
      <c r="W125" s="224" t="s">
        <v>508</v>
      </c>
      <c r="X125" s="224" t="s">
        <v>786</v>
      </c>
      <c r="Y125" s="422">
        <v>41000</v>
      </c>
      <c r="Z125" s="302" t="s">
        <v>942</v>
      </c>
      <c r="AA125" s="275" t="s">
        <v>776</v>
      </c>
      <c r="AB125" s="290">
        <v>43008</v>
      </c>
      <c r="AC125" s="290"/>
      <c r="AD125" s="304" t="s">
        <v>1306</v>
      </c>
      <c r="AE125" s="305" t="str">
        <f ca="1">IFERROR(OFFSET(DistanceToCamp[Nearest Town],MATCH(CampList[[#This Row],[CP_Pcode]],DistanceToCamp[CP_Pcode],0)-1,0,1,1),"")</f>
        <v>Lwegel Town</v>
      </c>
      <c r="AF125" s="292">
        <f ca="1">IFERROR(OFFSET(DistanceToCamp[distance],MATCH(CampList[[#This Row],[CP_Pcode]],DistanceToCamp[CP_Pcode],0)-1,0,1,1),"")</f>
        <v>8.953204937938569</v>
      </c>
      <c r="AG125" s="306">
        <f ca="1">IFERROR(INT(CampList[[#This Row],[Distance]]/5)+1,"")</f>
        <v>2</v>
      </c>
      <c r="AI125" s="489"/>
      <c r="AJ125" s="489"/>
    </row>
    <row r="126" spans="2:36" s="203" customFormat="1" ht="15.75" customHeight="1" x14ac:dyDescent="0.25">
      <c r="B126" s="299" t="s">
        <v>460</v>
      </c>
      <c r="C126" s="275" t="s">
        <v>378</v>
      </c>
      <c r="D126" s="275" t="s">
        <v>479</v>
      </c>
      <c r="E126" s="275" t="s">
        <v>5</v>
      </c>
      <c r="F126" s="275" t="s">
        <v>483</v>
      </c>
      <c r="G126" s="275" t="s">
        <v>151</v>
      </c>
      <c r="H126" s="275" t="s">
        <v>493</v>
      </c>
      <c r="I126" s="275" t="s">
        <v>684</v>
      </c>
      <c r="J126" s="300" t="s">
        <v>685</v>
      </c>
      <c r="K126" s="275" t="s">
        <v>686</v>
      </c>
      <c r="L126" s="275">
        <v>216948</v>
      </c>
      <c r="M126" s="275" t="s">
        <v>198</v>
      </c>
      <c r="N126" s="275" t="s">
        <v>197</v>
      </c>
      <c r="O126" s="286">
        <v>97.625617000000005</v>
      </c>
      <c r="P126" s="286">
        <v>24.056132999999999</v>
      </c>
      <c r="Q126" s="302">
        <v>866</v>
      </c>
      <c r="R126" s="417">
        <v>548</v>
      </c>
      <c r="S126" s="417">
        <v>2482</v>
      </c>
      <c r="T126" s="287">
        <f>IF(CampList[[#This Row],[HH]]&gt;0,CampList[[#This Row],[Total]]/CampList[[#This Row],[HH]],"NA")</f>
        <v>4.5291970802919712</v>
      </c>
      <c r="U126" s="224" t="s">
        <v>467</v>
      </c>
      <c r="V126" s="276" t="s">
        <v>1013</v>
      </c>
      <c r="W126" s="224" t="s">
        <v>508</v>
      </c>
      <c r="X126" s="224" t="s">
        <v>786</v>
      </c>
      <c r="Y126" s="422">
        <v>40817</v>
      </c>
      <c r="Z126" s="302" t="s">
        <v>942</v>
      </c>
      <c r="AA126" s="275" t="s">
        <v>776</v>
      </c>
      <c r="AB126" s="290">
        <v>43008</v>
      </c>
      <c r="AC126" s="290"/>
      <c r="AD126" s="304" t="s">
        <v>1307</v>
      </c>
      <c r="AE126" s="305" t="str">
        <f ca="1">IFERROR(OFFSET(DistanceToCamp[Nearest Town],MATCH(CampList[[#This Row],[CP_Pcode]],DistanceToCamp[CP_Pcode],0)-1,0,1,1),"")</f>
        <v>Lwegel Town</v>
      </c>
      <c r="AF126" s="292">
        <f ca="1">IFERROR(OFFSET(DistanceToCamp[distance],MATCH(CampList[[#This Row],[CP_Pcode]],DistanceToCamp[CP_Pcode],0)-1,0,1,1),"")</f>
        <v>18.620903555062636</v>
      </c>
      <c r="AG126" s="306">
        <f ca="1">IFERROR(INT(CampList[[#This Row],[Distance]]/5)+1,"")</f>
        <v>4</v>
      </c>
      <c r="AI126" s="489"/>
      <c r="AJ126" s="489"/>
    </row>
    <row r="127" spans="2:36" s="203" customFormat="1" ht="15.75" customHeight="1" x14ac:dyDescent="0.25">
      <c r="B127" s="283" t="s">
        <v>460</v>
      </c>
      <c r="C127" s="274" t="s">
        <v>378</v>
      </c>
      <c r="D127" s="274" t="s">
        <v>479</v>
      </c>
      <c r="E127" s="274" t="s">
        <v>5</v>
      </c>
      <c r="F127" s="274" t="s">
        <v>483</v>
      </c>
      <c r="G127" s="291" t="s">
        <v>151</v>
      </c>
      <c r="H127" s="291" t="s">
        <v>493</v>
      </c>
      <c r="I127" s="291" t="s">
        <v>680</v>
      </c>
      <c r="J127" s="291" t="s">
        <v>681</v>
      </c>
      <c r="K127" s="291" t="s">
        <v>680</v>
      </c>
      <c r="L127" s="291" t="s">
        <v>680</v>
      </c>
      <c r="M127" s="274" t="s">
        <v>188</v>
      </c>
      <c r="N127" s="274" t="s">
        <v>187</v>
      </c>
      <c r="O127" s="284">
        <v>97.609832999999995</v>
      </c>
      <c r="P127" s="284">
        <v>24.002433</v>
      </c>
      <c r="Q127" s="285">
        <v>854</v>
      </c>
      <c r="R127" s="415">
        <v>386</v>
      </c>
      <c r="S127" s="416">
        <v>1902</v>
      </c>
      <c r="T127" s="287">
        <f>IF(CampList[[#This Row],[HH]]&gt;0,CampList[[#This Row],[Total]]/CampList[[#This Row],[HH]],"NA")</f>
        <v>4.9274611398963728</v>
      </c>
      <c r="U127" s="276" t="s">
        <v>467</v>
      </c>
      <c r="V127" s="276" t="s">
        <v>1013</v>
      </c>
      <c r="W127" s="276" t="s">
        <v>508</v>
      </c>
      <c r="X127" s="276" t="s">
        <v>786</v>
      </c>
      <c r="Y127" s="421">
        <v>40817</v>
      </c>
      <c r="Z127" s="288" t="s">
        <v>942</v>
      </c>
      <c r="AA127" s="308" t="s">
        <v>776</v>
      </c>
      <c r="AB127" s="290">
        <v>43008</v>
      </c>
      <c r="AC127" s="290"/>
      <c r="AD127" s="283" t="s">
        <v>1308</v>
      </c>
      <c r="AE127" s="276" t="str">
        <f ca="1">IFERROR(OFFSET(DistanceToCamp[Nearest Town],MATCH(CampList[[#This Row],[CP_Pcode]],DistanceToCamp[CP_Pcode],0)-1,0,1,1),"")</f>
        <v>Namhkan Town</v>
      </c>
      <c r="AF127" s="292">
        <f ca="1">IFERROR(OFFSET(DistanceToCamp[distance],MATCH(CampList[[#This Row],[CP_Pcode]],DistanceToCamp[CP_Pcode],0)-1,0,1,1),"")</f>
        <v>19.796407430638478</v>
      </c>
      <c r="AG127" s="293">
        <f ca="1">IFERROR(INT(CampList[[#This Row],[Distance]]/5)+1,"")</f>
        <v>4</v>
      </c>
      <c r="AI127" s="489"/>
      <c r="AJ127" s="489"/>
    </row>
    <row r="128" spans="2:36" s="203" customFormat="1" ht="15.75" customHeight="1" x14ac:dyDescent="0.25">
      <c r="B128" s="299" t="s">
        <v>460</v>
      </c>
      <c r="C128" s="275" t="s">
        <v>378</v>
      </c>
      <c r="D128" s="275" t="s">
        <v>479</v>
      </c>
      <c r="E128" s="275" t="s">
        <v>5</v>
      </c>
      <c r="F128" s="275" t="s">
        <v>483</v>
      </c>
      <c r="G128" s="275" t="s">
        <v>185</v>
      </c>
      <c r="H128" s="275" t="s">
        <v>487</v>
      </c>
      <c r="I128" s="275" t="s">
        <v>687</v>
      </c>
      <c r="J128" s="300" t="s">
        <v>688</v>
      </c>
      <c r="K128" s="275" t="s">
        <v>689</v>
      </c>
      <c r="L128" s="275">
        <v>167138</v>
      </c>
      <c r="M128" s="275" t="s">
        <v>215</v>
      </c>
      <c r="N128" s="275" t="s">
        <v>214</v>
      </c>
      <c r="O128" s="286">
        <v>97.669366999999994</v>
      </c>
      <c r="P128" s="286">
        <v>24.378167000000001</v>
      </c>
      <c r="Q128" s="302">
        <v>1149</v>
      </c>
      <c r="R128" s="417">
        <v>356</v>
      </c>
      <c r="S128" s="417">
        <v>1787</v>
      </c>
      <c r="T128" s="287">
        <f>IF(CampList[[#This Row],[HH]]&gt;0,CampList[[#This Row],[Total]]/CampList[[#This Row],[HH]],"NA")</f>
        <v>5.0196629213483144</v>
      </c>
      <c r="U128" s="224" t="s">
        <v>467</v>
      </c>
      <c r="V128" s="276" t="s">
        <v>1013</v>
      </c>
      <c r="W128" s="224" t="s">
        <v>508</v>
      </c>
      <c r="X128" s="224" t="s">
        <v>786</v>
      </c>
      <c r="Y128" s="422">
        <v>41000</v>
      </c>
      <c r="Z128" s="302" t="s">
        <v>942</v>
      </c>
      <c r="AA128" s="275" t="s">
        <v>776</v>
      </c>
      <c r="AB128" s="290">
        <v>43008</v>
      </c>
      <c r="AC128" s="290"/>
      <c r="AD128" s="304" t="s">
        <v>1314</v>
      </c>
      <c r="AE128" s="305" t="str">
        <f ca="1">IFERROR(OFFSET(DistanceToCamp[Nearest Town],MATCH(CampList[[#This Row],[CP_Pcode]],DistanceToCamp[CP_Pcode],0)-1,0,1,1),"")</f>
        <v>Lwegel Town</v>
      </c>
      <c r="AF128" s="292">
        <f ca="1">IFERROR(OFFSET(DistanceToCamp[distance],MATCH(CampList[[#This Row],[CP_Pcode]],DistanceToCamp[CP_Pcode],0)-1,0,1,1),"")</f>
        <v>20.558236360788097</v>
      </c>
      <c r="AG128" s="306">
        <f ca="1">IFERROR(INT(CampList[[#This Row],[Distance]]/5)+1,"")</f>
        <v>5</v>
      </c>
      <c r="AI128" s="489"/>
      <c r="AJ128" s="489"/>
    </row>
    <row r="129" spans="2:36" s="203" customFormat="1" ht="15.75" customHeight="1" x14ac:dyDescent="0.25">
      <c r="B129" s="299" t="s">
        <v>460</v>
      </c>
      <c r="C129" s="275" t="s">
        <v>378</v>
      </c>
      <c r="D129" s="275" t="s">
        <v>479</v>
      </c>
      <c r="E129" s="275" t="s">
        <v>5</v>
      </c>
      <c r="F129" s="275" t="s">
        <v>483</v>
      </c>
      <c r="G129" s="275" t="s">
        <v>151</v>
      </c>
      <c r="H129" s="275" t="s">
        <v>493</v>
      </c>
      <c r="I129" s="275" t="s">
        <v>601</v>
      </c>
      <c r="J129" s="300" t="s">
        <v>602</v>
      </c>
      <c r="K129" s="291" t="s">
        <v>601</v>
      </c>
      <c r="L129" s="307">
        <v>167405</v>
      </c>
      <c r="M129" s="275" t="s">
        <v>154</v>
      </c>
      <c r="N129" s="275" t="s">
        <v>153</v>
      </c>
      <c r="O129" s="286">
        <v>97.578490000000002</v>
      </c>
      <c r="P129" s="286">
        <v>23.835319999999999</v>
      </c>
      <c r="Q129" s="302">
        <v>795</v>
      </c>
      <c r="R129" s="817">
        <v>441</v>
      </c>
      <c r="S129" s="817">
        <v>2241</v>
      </c>
      <c r="T129" s="287">
        <f>IF(CampList[[#This Row],[HH]]&gt;0,CampList[[#This Row],[Total]]/CampList[[#This Row],[HH]],"NA")</f>
        <v>5.0816326530612246</v>
      </c>
      <c r="U129" s="224" t="s">
        <v>465</v>
      </c>
      <c r="V129" s="276" t="s">
        <v>1013</v>
      </c>
      <c r="W129" s="224" t="s">
        <v>508</v>
      </c>
      <c r="X129" s="224" t="s">
        <v>786</v>
      </c>
      <c r="Y129" s="422">
        <v>40848</v>
      </c>
      <c r="Z129" s="302" t="s">
        <v>942</v>
      </c>
      <c r="AA129" s="275" t="s">
        <v>776</v>
      </c>
      <c r="AB129" s="290">
        <v>43008</v>
      </c>
      <c r="AC129" s="290"/>
      <c r="AD129" s="304" t="s">
        <v>1309</v>
      </c>
      <c r="AE129" s="305" t="str">
        <f ca="1">IFERROR(OFFSET(DistanceToCamp[Nearest Town],MATCH(CampList[[#This Row],[CP_Pcode]],DistanceToCamp[CP_Pcode],0)-1,0,1,1),"")</f>
        <v>Namhkan Town</v>
      </c>
      <c r="AF129" s="292">
        <f ca="1">IFERROR(OFFSET(DistanceToCamp[distance],MATCH(CampList[[#This Row],[CP_Pcode]],DistanceToCamp[CP_Pcode],0)-1,0,1,1),"")</f>
        <v>10.509375400480517</v>
      </c>
      <c r="AG129" s="306">
        <f ca="1">IFERROR(INT(CampList[[#This Row],[Distance]]/5)+1,"")</f>
        <v>3</v>
      </c>
      <c r="AI129" s="489"/>
      <c r="AJ129" s="489"/>
    </row>
    <row r="130" spans="2:36" s="203" customFormat="1" ht="15.75" customHeight="1" x14ac:dyDescent="0.25">
      <c r="B130" s="283" t="s">
        <v>460</v>
      </c>
      <c r="C130" s="274" t="s">
        <v>378</v>
      </c>
      <c r="D130" s="274" t="s">
        <v>479</v>
      </c>
      <c r="E130" s="274" t="s">
        <v>5</v>
      </c>
      <c r="F130" s="274" t="s">
        <v>483</v>
      </c>
      <c r="G130" s="274" t="s">
        <v>151</v>
      </c>
      <c r="H130" s="274" t="s">
        <v>493</v>
      </c>
      <c r="I130" s="291" t="s">
        <v>601</v>
      </c>
      <c r="J130" s="291" t="s">
        <v>602</v>
      </c>
      <c r="K130" s="291" t="s">
        <v>601</v>
      </c>
      <c r="L130" s="307">
        <v>167405</v>
      </c>
      <c r="M130" s="274" t="s">
        <v>160</v>
      </c>
      <c r="N130" s="274" t="s">
        <v>159</v>
      </c>
      <c r="O130" s="284">
        <v>97.589979999999997</v>
      </c>
      <c r="P130" s="284">
        <v>23.83013</v>
      </c>
      <c r="Q130" s="285">
        <v>741</v>
      </c>
      <c r="R130" s="414">
        <v>109</v>
      </c>
      <c r="S130" s="414">
        <v>579</v>
      </c>
      <c r="T130" s="287">
        <f>IF(CampList[[#This Row],[HH]]&gt;0,CampList[[#This Row],[Total]]/CampList[[#This Row],[HH]],"NA")</f>
        <v>5.3119266055045875</v>
      </c>
      <c r="U130" s="276" t="s">
        <v>465</v>
      </c>
      <c r="V130" s="276" t="s">
        <v>1013</v>
      </c>
      <c r="W130" s="276" t="s">
        <v>508</v>
      </c>
      <c r="X130" s="276" t="s">
        <v>786</v>
      </c>
      <c r="Y130" s="421">
        <v>40940</v>
      </c>
      <c r="Z130" s="288" t="s">
        <v>424</v>
      </c>
      <c r="AA130" s="308" t="s">
        <v>776</v>
      </c>
      <c r="AB130" s="290">
        <v>43008</v>
      </c>
      <c r="AC130" s="290"/>
      <c r="AD130" s="291" t="s">
        <v>1390</v>
      </c>
      <c r="AE130" s="276" t="str">
        <f ca="1">IFERROR(OFFSET(DistanceToCamp[Nearest Town],MATCH(CampList[[#This Row],[CP_Pcode]],DistanceToCamp[CP_Pcode],0)-1,0,1,1),"")</f>
        <v>Namhkan Town</v>
      </c>
      <c r="AF130" s="292">
        <f ca="1">IFERROR(OFFSET(DistanceToCamp[distance],MATCH(CampList[[#This Row],[CP_Pcode]],DistanceToCamp[CP_Pcode],0)-1,0,1,1),"")</f>
        <v>9.3704379947870464</v>
      </c>
      <c r="AG130" s="293">
        <f ca="1">IFERROR(INT(CampList[[#This Row],[Distance]]/5)+1,"")</f>
        <v>2</v>
      </c>
      <c r="AI130" s="489"/>
      <c r="AJ130" s="489"/>
    </row>
    <row r="131" spans="2:36" s="203" customFormat="1" ht="15.75" customHeight="1" x14ac:dyDescent="0.25">
      <c r="B131" s="283" t="s">
        <v>460</v>
      </c>
      <c r="C131" s="274" t="s">
        <v>378</v>
      </c>
      <c r="D131" s="274" t="s">
        <v>479</v>
      </c>
      <c r="E131" s="274" t="s">
        <v>5</v>
      </c>
      <c r="F131" s="274" t="s">
        <v>483</v>
      </c>
      <c r="G131" s="274" t="s">
        <v>151</v>
      </c>
      <c r="H131" s="274" t="s">
        <v>493</v>
      </c>
      <c r="I131" s="291" t="s">
        <v>601</v>
      </c>
      <c r="J131" s="291" t="s">
        <v>602</v>
      </c>
      <c r="K131" s="291" t="s">
        <v>601</v>
      </c>
      <c r="L131" s="291">
        <v>167405</v>
      </c>
      <c r="M131" s="274" t="s">
        <v>156</v>
      </c>
      <c r="N131" s="274" t="s">
        <v>155</v>
      </c>
      <c r="O131" s="284">
        <v>97.588291999999996</v>
      </c>
      <c r="P131" s="284">
        <v>23.827870999999998</v>
      </c>
      <c r="Q131" s="302"/>
      <c r="R131" s="415">
        <v>175</v>
      </c>
      <c r="S131" s="416">
        <v>834</v>
      </c>
      <c r="T131" s="287">
        <f>IF(CampList[[#This Row],[HH]]&gt;0,CampList[[#This Row],[Total]]/CampList[[#This Row],[HH]],"NA")</f>
        <v>4.765714285714286</v>
      </c>
      <c r="U131" s="276" t="s">
        <v>465</v>
      </c>
      <c r="V131" s="276" t="s">
        <v>1013</v>
      </c>
      <c r="W131" s="315" t="s">
        <v>12</v>
      </c>
      <c r="X131" s="276" t="s">
        <v>786</v>
      </c>
      <c r="Y131" s="422"/>
      <c r="Z131" s="289"/>
      <c r="AA131" s="308" t="s">
        <v>776</v>
      </c>
      <c r="AB131" s="290">
        <v>42397</v>
      </c>
      <c r="AC131" s="290"/>
      <c r="AD131" s="291" t="s">
        <v>1577</v>
      </c>
      <c r="AE131" s="276" t="str">
        <f ca="1">IFERROR(OFFSET(DistanceToCamp[Nearest Town],MATCH(CampList[[#This Row],[CP_Pcode]],DistanceToCamp[CP_Pcode],0)-1,0,1,1),"")</f>
        <v>Namhkan Town</v>
      </c>
      <c r="AF131" s="292">
        <f ca="1">IFERROR(OFFSET(DistanceToCamp[distance],MATCH(CampList[[#This Row],[CP_Pcode]],DistanceToCamp[CP_Pcode],0)-1,0,1,1),"")</f>
        <v>9.5650381623500511</v>
      </c>
      <c r="AG131" s="293">
        <f ca="1">IFERROR(INT(CampList[[#This Row],[Distance]]/5)+1,"")</f>
        <v>2</v>
      </c>
      <c r="AI131" s="489"/>
      <c r="AJ131" s="489"/>
    </row>
    <row r="132" spans="2:36" s="203" customFormat="1" ht="15.75" hidden="1" customHeight="1" x14ac:dyDescent="0.25">
      <c r="B132" s="283" t="s">
        <v>777</v>
      </c>
      <c r="C132" s="274" t="s">
        <v>378</v>
      </c>
      <c r="D132" s="274" t="s">
        <v>479</v>
      </c>
      <c r="E132" s="274" t="s">
        <v>5</v>
      </c>
      <c r="F132" s="274" t="s">
        <v>483</v>
      </c>
      <c r="G132" s="274" t="s">
        <v>151</v>
      </c>
      <c r="H132" s="274" t="s">
        <v>493</v>
      </c>
      <c r="I132" s="291" t="s">
        <v>800</v>
      </c>
      <c r="J132" s="291" t="s">
        <v>801</v>
      </c>
      <c r="K132" s="291" t="s">
        <v>799</v>
      </c>
      <c r="L132" s="291">
        <v>167391</v>
      </c>
      <c r="M132" s="274" t="s">
        <v>803</v>
      </c>
      <c r="N132" s="274" t="s">
        <v>802</v>
      </c>
      <c r="O132" s="284">
        <v>97.710989999999995</v>
      </c>
      <c r="P132" s="320">
        <v>24.181640000000002</v>
      </c>
      <c r="Q132" s="301"/>
      <c r="R132" s="376">
        <v>0</v>
      </c>
      <c r="S132" s="377">
        <v>0</v>
      </c>
      <c r="T132" s="287" t="str">
        <f>IF(CampList[[#This Row],[HH]]&gt;0,CampList[[#This Row],[Total]]/CampList[[#This Row],[HH]],"NA")</f>
        <v>NA</v>
      </c>
      <c r="U132" s="276" t="s">
        <v>465</v>
      </c>
      <c r="V132" s="294" t="s">
        <v>1013</v>
      </c>
      <c r="W132" s="276" t="s">
        <v>508</v>
      </c>
      <c r="X132" s="294"/>
      <c r="Y132" s="310"/>
      <c r="Z132" s="311"/>
      <c r="AA132" s="308" t="s">
        <v>776</v>
      </c>
      <c r="AB132" s="290">
        <v>41701</v>
      </c>
      <c r="AC132" s="290"/>
      <c r="AD132" s="283" t="s">
        <v>872</v>
      </c>
      <c r="AE132" s="276" t="str">
        <f ca="1">IFERROR(OFFSET(DistanceToCamp[Nearest Town],MATCH(CampList[[#This Row],[CP_Pcode]],DistanceToCamp[CP_Pcode],0)-1,0,1,1),"")</f>
        <v/>
      </c>
      <c r="AF132" s="292" t="str">
        <f ca="1">IFERROR(OFFSET(DistanceToCamp[distance],MATCH(CampList[[#This Row],[CP_Pcode]],DistanceToCamp[CP_Pcode],0)-1,0,1,1),"")</f>
        <v/>
      </c>
      <c r="AG132" s="293" t="str">
        <f ca="1">IFERROR(INT(CampList[[#This Row],[Distance]]/5)+1,"")</f>
        <v/>
      </c>
      <c r="AI132" s="489"/>
      <c r="AJ132" s="489"/>
    </row>
    <row r="133" spans="2:36" s="203" customFormat="1" ht="15.75" hidden="1" customHeight="1" x14ac:dyDescent="0.25">
      <c r="B133" s="283" t="s">
        <v>777</v>
      </c>
      <c r="C133" s="274" t="s">
        <v>378</v>
      </c>
      <c r="D133" s="274" t="s">
        <v>479</v>
      </c>
      <c r="E133" s="274" t="s">
        <v>237</v>
      </c>
      <c r="F133" s="274" t="s">
        <v>485</v>
      </c>
      <c r="G133" s="274" t="s">
        <v>309</v>
      </c>
      <c r="H133" s="274" t="s">
        <v>486</v>
      </c>
      <c r="I133" s="291" t="s">
        <v>668</v>
      </c>
      <c r="J133" s="291" t="s">
        <v>669</v>
      </c>
      <c r="K133" s="291" t="s">
        <v>668</v>
      </c>
      <c r="L133" s="291">
        <v>165772</v>
      </c>
      <c r="M133" s="274" t="s">
        <v>331</v>
      </c>
      <c r="N133" s="274" t="s">
        <v>330</v>
      </c>
      <c r="O133" s="284">
        <v>97.550267000000005</v>
      </c>
      <c r="P133" s="284">
        <v>24.747966999999999</v>
      </c>
      <c r="Q133" s="301"/>
      <c r="R133" s="376">
        <v>0</v>
      </c>
      <c r="S133" s="377">
        <v>0</v>
      </c>
      <c r="T133" s="287" t="str">
        <f>IF(CampList[[#This Row],[HH]]&gt;0,CampList[[#This Row],[Total]]/CampList[[#This Row],[HH]],"NA")</f>
        <v>NA</v>
      </c>
      <c r="U133" s="276" t="s">
        <v>465</v>
      </c>
      <c r="V133" s="294" t="s">
        <v>1013</v>
      </c>
      <c r="W133" s="276" t="s">
        <v>508</v>
      </c>
      <c r="X133" s="294"/>
      <c r="Y133" s="310"/>
      <c r="Z133" s="311"/>
      <c r="AA133" s="308"/>
      <c r="AB133" s="314"/>
      <c r="AC133" s="314"/>
      <c r="AD133" s="283" t="s">
        <v>778</v>
      </c>
      <c r="AE133" s="276" t="str">
        <f ca="1">IFERROR(OFFSET(DistanceToCamp[Nearest Town],MATCH(CampList[[#This Row],[CP_Pcode]],DistanceToCamp[CP_Pcode],0)-1,0,1,1),"")</f>
        <v/>
      </c>
      <c r="AF133" s="292" t="str">
        <f ca="1">IFERROR(OFFSET(DistanceToCamp[distance],MATCH(CampList[[#This Row],[CP_Pcode]],DistanceToCamp[CP_Pcode],0)-1,0,1,1),"")</f>
        <v/>
      </c>
      <c r="AG133" s="293" t="str">
        <f ca="1">IFERROR(INT(CampList[[#This Row],[Distance]]/5)+1,"")</f>
        <v/>
      </c>
      <c r="AI133" s="489"/>
      <c r="AJ133" s="489"/>
    </row>
    <row r="134" spans="2:36" s="203" customFormat="1" ht="15.75" hidden="1" customHeight="1" x14ac:dyDescent="0.25">
      <c r="B134" s="283" t="s">
        <v>777</v>
      </c>
      <c r="C134" s="274" t="s">
        <v>378</v>
      </c>
      <c r="D134" s="274" t="s">
        <v>479</v>
      </c>
      <c r="E134" s="274" t="s">
        <v>5</v>
      </c>
      <c r="F134" s="274" t="s">
        <v>483</v>
      </c>
      <c r="G134" s="274" t="s">
        <v>185</v>
      </c>
      <c r="H134" s="274" t="s">
        <v>487</v>
      </c>
      <c r="I134" s="291" t="s">
        <v>603</v>
      </c>
      <c r="J134" s="291" t="s">
        <v>604</v>
      </c>
      <c r="K134" s="291" t="s">
        <v>605</v>
      </c>
      <c r="L134" s="291" t="s">
        <v>606</v>
      </c>
      <c r="M134" s="274" t="s">
        <v>207</v>
      </c>
      <c r="N134" s="274" t="s">
        <v>206</v>
      </c>
      <c r="O134" s="284">
        <v>97.346940000000004</v>
      </c>
      <c r="P134" s="284">
        <v>24.251860000000001</v>
      </c>
      <c r="Q134" s="297">
        <v>0</v>
      </c>
      <c r="R134" s="376"/>
      <c r="S134" s="377"/>
      <c r="T134" s="287" t="str">
        <f>IF(CampList[[#This Row],[HH]]&gt;0,CampList[[#This Row],[Total]]/CampList[[#This Row],[HH]],"NA")</f>
        <v>NA</v>
      </c>
      <c r="U134" s="276" t="s">
        <v>465</v>
      </c>
      <c r="V134" s="294" t="s">
        <v>1013</v>
      </c>
      <c r="W134" s="276" t="s">
        <v>508</v>
      </c>
      <c r="X134" s="294" t="s">
        <v>743</v>
      </c>
      <c r="Y134" s="295">
        <v>40817</v>
      </c>
      <c r="Z134" s="295"/>
      <c r="AA134" s="308" t="s">
        <v>776</v>
      </c>
      <c r="AB134" s="290">
        <v>42317</v>
      </c>
      <c r="AC134" s="290"/>
      <c r="AD134" s="283" t="s">
        <v>1096</v>
      </c>
      <c r="AE134" s="276"/>
      <c r="AF134" s="292"/>
      <c r="AG134" s="293"/>
      <c r="AI134" s="489"/>
      <c r="AJ134" s="489"/>
    </row>
    <row r="135" spans="2:36" s="203" customFormat="1" ht="15.75" hidden="1" customHeight="1" x14ac:dyDescent="0.25">
      <c r="B135" s="283" t="s">
        <v>777</v>
      </c>
      <c r="C135" s="274" t="s">
        <v>378</v>
      </c>
      <c r="D135" s="274" t="s">
        <v>479</v>
      </c>
      <c r="E135" s="274" t="s">
        <v>180</v>
      </c>
      <c r="F135" s="274" t="s">
        <v>480</v>
      </c>
      <c r="G135" s="274" t="s">
        <v>481</v>
      </c>
      <c r="H135" s="274" t="s">
        <v>482</v>
      </c>
      <c r="I135" s="291" t="s">
        <v>544</v>
      </c>
      <c r="J135" s="291" t="s">
        <v>545</v>
      </c>
      <c r="K135" s="291" t="s">
        <v>642</v>
      </c>
      <c r="L135" s="291" t="s">
        <v>643</v>
      </c>
      <c r="M135" s="274" t="s">
        <v>54</v>
      </c>
      <c r="N135" s="274" t="s">
        <v>53</v>
      </c>
      <c r="O135" s="284">
        <v>96.310928000000004</v>
      </c>
      <c r="P135" s="284">
        <v>25.609179999999999</v>
      </c>
      <c r="Q135" s="301"/>
      <c r="R135" s="376">
        <v>0</v>
      </c>
      <c r="S135" s="377">
        <v>0</v>
      </c>
      <c r="T135" s="287" t="str">
        <f>IF(CampList[[#This Row],[HH]]&gt;0,CampList[[#This Row],[Total]]/CampList[[#This Row],[HH]],"NA")</f>
        <v>NA</v>
      </c>
      <c r="U135" s="276" t="s">
        <v>465</v>
      </c>
      <c r="V135" s="294" t="s">
        <v>1013</v>
      </c>
      <c r="W135" s="276" t="s">
        <v>508</v>
      </c>
      <c r="X135" s="294"/>
      <c r="Y135" s="310"/>
      <c r="Z135" s="311"/>
      <c r="AA135" s="308"/>
      <c r="AB135" s="314"/>
      <c r="AC135" s="314"/>
      <c r="AD135" s="283" t="s">
        <v>542</v>
      </c>
      <c r="AE135" s="276" t="str">
        <f ca="1">IFERROR(OFFSET(DistanceToCamp[Nearest Town],MATCH(CampList[[#This Row],[CP_Pcode]],DistanceToCamp[CP_Pcode],0)-1,0,1,1),"")</f>
        <v/>
      </c>
      <c r="AF135" s="292" t="str">
        <f ca="1">IFERROR(OFFSET(DistanceToCamp[distance],MATCH(CampList[[#This Row],[CP_Pcode]],DistanceToCamp[CP_Pcode],0)-1,0,1,1),"")</f>
        <v/>
      </c>
      <c r="AG135" s="293" t="str">
        <f ca="1">IFERROR(INT(CampList[[#This Row],[Distance]]/5)+1,"")</f>
        <v/>
      </c>
      <c r="AI135" s="489"/>
      <c r="AJ135" s="489"/>
    </row>
    <row r="136" spans="2:36" s="203" customFormat="1" ht="15.75" customHeight="1" x14ac:dyDescent="0.25">
      <c r="B136" s="308" t="s">
        <v>460</v>
      </c>
      <c r="C136" s="274" t="s">
        <v>378</v>
      </c>
      <c r="D136" s="274" t="s">
        <v>479</v>
      </c>
      <c r="E136" s="274" t="s">
        <v>5</v>
      </c>
      <c r="F136" s="274" t="s">
        <v>483</v>
      </c>
      <c r="G136" s="274" t="s">
        <v>301</v>
      </c>
      <c r="H136" s="274" t="s">
        <v>494</v>
      </c>
      <c r="I136" s="274"/>
      <c r="J136" s="274"/>
      <c r="K136" s="274"/>
      <c r="L136" s="274"/>
      <c r="M136" s="274" t="s">
        <v>303</v>
      </c>
      <c r="N136" s="274" t="s">
        <v>302</v>
      </c>
      <c r="O136" s="284"/>
      <c r="P136" s="284"/>
      <c r="Q136" s="302"/>
      <c r="R136" s="415">
        <v>375</v>
      </c>
      <c r="S136" s="416">
        <v>1691</v>
      </c>
      <c r="T136" s="287">
        <f>IF(CampList[[#This Row],[HH]]&gt;0,CampList[[#This Row],[Total]]/CampList[[#This Row],[HH]],"NA")</f>
        <v>4.5093333333333332</v>
      </c>
      <c r="U136" s="276" t="s">
        <v>465</v>
      </c>
      <c r="V136" s="276" t="s">
        <v>1013</v>
      </c>
      <c r="W136" s="276" t="s">
        <v>12</v>
      </c>
      <c r="X136" s="276" t="s">
        <v>786</v>
      </c>
      <c r="Y136" s="422">
        <v>41701</v>
      </c>
      <c r="Z136" s="289"/>
      <c r="AA136" s="308" t="s">
        <v>523</v>
      </c>
      <c r="AB136" s="290">
        <v>42888</v>
      </c>
      <c r="AC136" s="290"/>
      <c r="AD136" s="283" t="s">
        <v>1283</v>
      </c>
      <c r="AE136" s="276" t="str">
        <f ca="1">IFERROR(OFFSET(DistanceToCamp[Nearest Town],MATCH(CampList[[#This Row],[CP_Pcode]],DistanceToCamp[CP_Pcode],0)-1,0,1,1),"")</f>
        <v/>
      </c>
      <c r="AF136" s="292" t="str">
        <f ca="1">IFERROR(OFFSET(DistanceToCamp[distance],MATCH(CampList[[#This Row],[CP_Pcode]],DistanceToCamp[CP_Pcode],0)-1,0,1,1),"")</f>
        <v/>
      </c>
      <c r="AG136" s="293" t="str">
        <f ca="1">IFERROR(INT(CampList[[#This Row],[Distance]]/5)+1,"")</f>
        <v/>
      </c>
      <c r="AI136" s="489"/>
      <c r="AJ136" s="489"/>
    </row>
    <row r="137" spans="2:36" s="203" customFormat="1" ht="15.75" customHeight="1" x14ac:dyDescent="0.25">
      <c r="B137" s="283" t="s">
        <v>460</v>
      </c>
      <c r="C137" s="274" t="s">
        <v>378</v>
      </c>
      <c r="D137" s="274" t="s">
        <v>479</v>
      </c>
      <c r="E137" s="274" t="s">
        <v>180</v>
      </c>
      <c r="F137" s="274" t="s">
        <v>480</v>
      </c>
      <c r="G137" s="274" t="s">
        <v>481</v>
      </c>
      <c r="H137" s="274" t="s">
        <v>482</v>
      </c>
      <c r="I137" s="274" t="s">
        <v>967</v>
      </c>
      <c r="J137" s="274" t="s">
        <v>1057</v>
      </c>
      <c r="K137" s="274" t="s">
        <v>1125</v>
      </c>
      <c r="L137" s="307">
        <v>220512</v>
      </c>
      <c r="M137" s="274" t="s">
        <v>88</v>
      </c>
      <c r="N137" s="274" t="s">
        <v>87</v>
      </c>
      <c r="O137" s="284">
        <v>96.705960000000005</v>
      </c>
      <c r="P137" s="284">
        <v>25.51352</v>
      </c>
      <c r="Q137" s="285">
        <v>0</v>
      </c>
      <c r="R137" s="414">
        <v>13</v>
      </c>
      <c r="S137" s="414">
        <v>46</v>
      </c>
      <c r="T137" s="287">
        <f>IF(CampList[[#This Row],[HH]]&gt;0,CampList[[#This Row],[Total]]/CampList[[#This Row],[HH]],"NA")</f>
        <v>3.5384615384615383</v>
      </c>
      <c r="U137" s="276" t="s">
        <v>465</v>
      </c>
      <c r="V137" s="276" t="s">
        <v>1013</v>
      </c>
      <c r="W137" s="276" t="s">
        <v>508</v>
      </c>
      <c r="X137" s="276" t="s">
        <v>743</v>
      </c>
      <c r="Y137" s="421">
        <v>41183</v>
      </c>
      <c r="Z137" s="288" t="s">
        <v>424</v>
      </c>
      <c r="AA137" s="308" t="s">
        <v>776</v>
      </c>
      <c r="AB137" s="290">
        <v>43008</v>
      </c>
      <c r="AC137" s="290"/>
      <c r="AD137" s="283" t="s">
        <v>1391</v>
      </c>
      <c r="AE137" s="276" t="str">
        <f ca="1">IFERROR(OFFSET(DistanceToCamp[Nearest Town],MATCH(CampList[[#This Row],[CP_Pcode]],DistanceToCamp[CP_Pcode],0)-1,0,1,1),"")</f>
        <v>Kamaing Town</v>
      </c>
      <c r="AF137" s="292">
        <f ca="1">IFERROR(OFFSET(DistanceToCamp[distance],MATCH(CampList[[#This Row],[CP_Pcode]],DistanceToCamp[CP_Pcode],0)-1,0,1,1),"")</f>
        <v>1.1537462444167914</v>
      </c>
      <c r="AG137" s="293">
        <f ca="1">IFERROR(INT(CampList[[#This Row],[Distance]]/5)+1,"")</f>
        <v>1</v>
      </c>
      <c r="AI137" s="489"/>
      <c r="AJ137" s="489"/>
    </row>
    <row r="138" spans="2:36" s="203" customFormat="1" ht="15.75" customHeight="1" x14ac:dyDescent="0.25">
      <c r="B138" s="283" t="s">
        <v>460</v>
      </c>
      <c r="C138" s="274" t="s">
        <v>378</v>
      </c>
      <c r="D138" s="274" t="s">
        <v>479</v>
      </c>
      <c r="E138" s="274" t="s">
        <v>180</v>
      </c>
      <c r="F138" s="274" t="s">
        <v>480</v>
      </c>
      <c r="G138" s="274" t="s">
        <v>180</v>
      </c>
      <c r="H138" s="274" t="s">
        <v>505</v>
      </c>
      <c r="I138" s="274" t="s">
        <v>557</v>
      </c>
      <c r="J138" s="274" t="s">
        <v>558</v>
      </c>
      <c r="K138" s="274" t="s">
        <v>843</v>
      </c>
      <c r="L138" s="274"/>
      <c r="M138" s="274" t="s">
        <v>286</v>
      </c>
      <c r="N138" s="274" t="s">
        <v>285</v>
      </c>
      <c r="O138" s="284">
        <v>96.364949999999993</v>
      </c>
      <c r="P138" s="284">
        <v>24.998349999999999</v>
      </c>
      <c r="Q138" s="285"/>
      <c r="R138" s="414">
        <v>24</v>
      </c>
      <c r="S138" s="414">
        <v>115</v>
      </c>
      <c r="T138" s="287">
        <f>IF(CampList[[#This Row],[HH]]&gt;0,CampList[[#This Row],[Total]]/CampList[[#This Row],[HH]],"NA")</f>
        <v>4.791666666666667</v>
      </c>
      <c r="U138" s="276" t="s">
        <v>465</v>
      </c>
      <c r="V138" s="276" t="s">
        <v>1013</v>
      </c>
      <c r="W138" s="276" t="s">
        <v>508</v>
      </c>
      <c r="X138" s="276" t="s">
        <v>786</v>
      </c>
      <c r="Y138" s="421">
        <v>40940</v>
      </c>
      <c r="Z138" s="288" t="s">
        <v>424</v>
      </c>
      <c r="AA138" s="274" t="s">
        <v>776</v>
      </c>
      <c r="AB138" s="290">
        <v>43008</v>
      </c>
      <c r="AC138" s="290"/>
      <c r="AD138" s="291" t="s">
        <v>1392</v>
      </c>
      <c r="AE138" s="276" t="str">
        <f ca="1">IFERROR(OFFSET(DistanceToCamp[Nearest Town],MATCH(CampList[[#This Row],[CP_Pcode]],DistanceToCamp[CP_Pcode],0)-1,0,1,1),"")</f>
        <v>Hopin Town</v>
      </c>
      <c r="AF138" s="292">
        <f ca="1">IFERROR(OFFSET(DistanceToCamp[distance],MATCH(CampList[[#This Row],[CP_Pcode]],DistanceToCamp[CP_Pcode],0)-1,0,1,1),"")</f>
        <v>16.668825701583572</v>
      </c>
      <c r="AG138" s="293">
        <f ca="1">IFERROR(INT(CampList[[#This Row],[Distance]]/5)+1,"")</f>
        <v>4</v>
      </c>
      <c r="AI138" s="489"/>
      <c r="AJ138" s="489"/>
    </row>
    <row r="139" spans="2:36" s="203" customFormat="1" ht="15.75" customHeight="1" x14ac:dyDescent="0.25">
      <c r="B139" s="313" t="s">
        <v>460</v>
      </c>
      <c r="C139" s="275" t="s">
        <v>378</v>
      </c>
      <c r="D139" s="275" t="s">
        <v>479</v>
      </c>
      <c r="E139" s="275" t="s">
        <v>237</v>
      </c>
      <c r="F139" s="275" t="s">
        <v>485</v>
      </c>
      <c r="G139" s="275" t="s">
        <v>309</v>
      </c>
      <c r="H139" s="275" t="s">
        <v>486</v>
      </c>
      <c r="I139" s="296" t="s">
        <v>711</v>
      </c>
      <c r="J139" s="296" t="s">
        <v>710</v>
      </c>
      <c r="K139" s="296" t="s">
        <v>711</v>
      </c>
      <c r="L139" s="296">
        <v>165895</v>
      </c>
      <c r="M139" s="275" t="s">
        <v>353</v>
      </c>
      <c r="N139" s="275" t="s">
        <v>352</v>
      </c>
      <c r="O139" s="286">
        <v>97.990555999999998</v>
      </c>
      <c r="P139" s="286">
        <v>25.265277999999999</v>
      </c>
      <c r="Q139" s="302">
        <v>2764</v>
      </c>
      <c r="R139" s="654">
        <v>88</v>
      </c>
      <c r="S139" s="654">
        <v>545</v>
      </c>
      <c r="T139" s="287">
        <f>IF(CampList[[#This Row],[HH]]&gt;0,CampList[[#This Row],[Total]]/CampList[[#This Row],[HH]],"NA")</f>
        <v>6.1931818181818183</v>
      </c>
      <c r="U139" s="224" t="s">
        <v>467</v>
      </c>
      <c r="V139" s="276" t="s">
        <v>1013</v>
      </c>
      <c r="W139" s="224" t="s">
        <v>508</v>
      </c>
      <c r="X139" s="224" t="s">
        <v>787</v>
      </c>
      <c r="Y139" s="422">
        <v>40848</v>
      </c>
      <c r="Z139" s="302" t="s">
        <v>943</v>
      </c>
      <c r="AA139" s="275" t="s">
        <v>776</v>
      </c>
      <c r="AB139" s="290">
        <v>43008</v>
      </c>
      <c r="AC139" s="290"/>
      <c r="AD139" s="304" t="s">
        <v>1326</v>
      </c>
      <c r="AE139" s="305" t="str">
        <f ca="1">IFERROR(OFFSET(DistanceToCamp[Nearest Town],MATCH(CampList[[#This Row],[CP_Pcode]],DistanceToCamp[CP_Pcode],0)-1,0,1,1),"")</f>
        <v>Sadung Town</v>
      </c>
      <c r="AF139" s="292">
        <f ca="1">IFERROR(OFFSET(DistanceToCamp[distance],MATCH(CampList[[#This Row],[CP_Pcode]],DistanceToCamp[CP_Pcode],0)-1,0,1,1),"")</f>
        <v>17.035515422123492</v>
      </c>
      <c r="AG139" s="306">
        <f ca="1">IFERROR(INT(CampList[[#This Row],[Distance]]/5)+1,"")</f>
        <v>4</v>
      </c>
      <c r="AI139" s="489"/>
      <c r="AJ139" s="489"/>
    </row>
    <row r="140" spans="2:36" s="203" customFormat="1" ht="15.75" customHeight="1" x14ac:dyDescent="0.25">
      <c r="B140" s="299" t="s">
        <v>460</v>
      </c>
      <c r="C140" s="275" t="s">
        <v>378</v>
      </c>
      <c r="D140" s="275" t="s">
        <v>479</v>
      </c>
      <c r="E140" s="275" t="s">
        <v>237</v>
      </c>
      <c r="F140" s="275" t="s">
        <v>485</v>
      </c>
      <c r="G140" s="275" t="s">
        <v>237</v>
      </c>
      <c r="H140" s="275" t="s">
        <v>489</v>
      </c>
      <c r="I140" s="275" t="s">
        <v>650</v>
      </c>
      <c r="J140" s="300" t="s">
        <v>651</v>
      </c>
      <c r="K140" s="275" t="s">
        <v>652</v>
      </c>
      <c r="L140" s="275">
        <v>165685</v>
      </c>
      <c r="M140" s="275" t="s">
        <v>272</v>
      </c>
      <c r="N140" s="275" t="s">
        <v>271</v>
      </c>
      <c r="O140" s="286">
        <v>97.4345</v>
      </c>
      <c r="P140" s="286">
        <v>25.493819999999999</v>
      </c>
      <c r="Q140" s="302"/>
      <c r="R140" s="654">
        <v>46</v>
      </c>
      <c r="S140" s="654">
        <v>279</v>
      </c>
      <c r="T140" s="287">
        <f>IF(CampList[[#This Row],[HH]]&gt;0,CampList[[#This Row],[Total]]/CampList[[#This Row],[HH]],"NA")</f>
        <v>6.0652173913043477</v>
      </c>
      <c r="U140" s="224" t="s">
        <v>465</v>
      </c>
      <c r="V140" s="276" t="s">
        <v>1013</v>
      </c>
      <c r="W140" s="224" t="s">
        <v>508</v>
      </c>
      <c r="X140" s="224" t="s">
        <v>743</v>
      </c>
      <c r="Y140" s="422">
        <v>41244</v>
      </c>
      <c r="Z140" s="302" t="s">
        <v>943</v>
      </c>
      <c r="AA140" s="275" t="s">
        <v>776</v>
      </c>
      <c r="AB140" s="290">
        <v>43008</v>
      </c>
      <c r="AC140" s="290"/>
      <c r="AD140" s="304" t="s">
        <v>1327</v>
      </c>
      <c r="AE140" s="305" t="str">
        <f ca="1">IFERROR(OFFSET(DistanceToCamp[Nearest Town],MATCH(CampList[[#This Row],[CP_Pcode]],DistanceToCamp[CP_Pcode],0)-1,0,1,1),"")</f>
        <v>Myitkyina Town</v>
      </c>
      <c r="AF140" s="292">
        <f ca="1">IFERROR(OFFSET(DistanceToCamp[distance],MATCH(CampList[[#This Row],[CP_Pcode]],DistanceToCamp[CP_Pcode],0)-1,0,1,1),"")</f>
        <v>12.627188913244609</v>
      </c>
      <c r="AG140" s="306">
        <f ca="1">IFERROR(INT(CampList[[#This Row],[Distance]]/5)+1,"")</f>
        <v>3</v>
      </c>
      <c r="AI140" s="489"/>
      <c r="AJ140" s="489"/>
    </row>
    <row r="141" spans="2:36" s="203" customFormat="1" ht="15.75" customHeight="1" x14ac:dyDescent="0.25">
      <c r="B141" s="283" t="s">
        <v>460</v>
      </c>
      <c r="C141" s="274" t="s">
        <v>378</v>
      </c>
      <c r="D141" s="274" t="s">
        <v>479</v>
      </c>
      <c r="E141" s="274" t="s">
        <v>5</v>
      </c>
      <c r="F141" s="274" t="s">
        <v>483</v>
      </c>
      <c r="G141" s="274" t="s">
        <v>5</v>
      </c>
      <c r="H141" s="274" t="s">
        <v>484</v>
      </c>
      <c r="I141" s="291" t="s">
        <v>578</v>
      </c>
      <c r="J141" s="291" t="s">
        <v>579</v>
      </c>
      <c r="K141" s="274"/>
      <c r="L141" s="274"/>
      <c r="M141" s="274" t="s">
        <v>12</v>
      </c>
      <c r="N141" s="274" t="s">
        <v>11</v>
      </c>
      <c r="O141" s="284">
        <v>97.228835000000004</v>
      </c>
      <c r="P141" s="284">
        <v>24.263786</v>
      </c>
      <c r="Q141" s="302"/>
      <c r="R141" s="415">
        <v>197</v>
      </c>
      <c r="S141" s="416">
        <v>957</v>
      </c>
      <c r="T141" s="287">
        <f>IF(CampList[[#This Row],[HH]]&gt;0,CampList[[#This Row],[Total]]/CampList[[#This Row],[HH]],"NA")</f>
        <v>4.8578680203045685</v>
      </c>
      <c r="U141" s="276" t="s">
        <v>465</v>
      </c>
      <c r="V141" s="276" t="s">
        <v>1013</v>
      </c>
      <c r="W141" s="315" t="s">
        <v>12</v>
      </c>
      <c r="X141" s="276" t="s">
        <v>743</v>
      </c>
      <c r="Y141" s="422"/>
      <c r="Z141" s="289"/>
      <c r="AA141" s="308" t="s">
        <v>776</v>
      </c>
      <c r="AB141" s="318">
        <v>42832</v>
      </c>
      <c r="AC141" s="318"/>
      <c r="AD141" s="283" t="s">
        <v>1578</v>
      </c>
      <c r="AE141" s="276" t="str">
        <f ca="1">IFERROR(OFFSET(DistanceToCamp[Nearest Town],MATCH(CampList[[#This Row],[CP_Pcode]],DistanceToCamp[CP_Pcode],0)-1,0,1,1),"")</f>
        <v>Bhamo Town</v>
      </c>
      <c r="AF141" s="292">
        <f ca="1">IFERROR(OFFSET(DistanceToCamp[distance],MATCH(CampList[[#This Row],[CP_Pcode]],DistanceToCamp[CP_Pcode],0)-1,0,1,1),"")</f>
        <v>1.1354007641426449</v>
      </c>
      <c r="AG141" s="293">
        <f ca="1">IFERROR(INT(CampList[[#This Row],[Distance]]/5)+1,"")</f>
        <v>1</v>
      </c>
      <c r="AI141" s="489"/>
      <c r="AJ141" s="489"/>
    </row>
    <row r="142" spans="2:36" s="203" customFormat="1" ht="15.75" customHeight="1" x14ac:dyDescent="0.25">
      <c r="B142" s="283" t="s">
        <v>460</v>
      </c>
      <c r="C142" s="274" t="s">
        <v>378</v>
      </c>
      <c r="D142" s="274" t="s">
        <v>479</v>
      </c>
      <c r="E142" s="274" t="s">
        <v>180</v>
      </c>
      <c r="F142" s="274" t="s">
        <v>480</v>
      </c>
      <c r="G142" s="274" t="s">
        <v>481</v>
      </c>
      <c r="H142" s="274" t="s">
        <v>482</v>
      </c>
      <c r="I142" s="274" t="s">
        <v>544</v>
      </c>
      <c r="J142" s="274" t="s">
        <v>545</v>
      </c>
      <c r="K142" s="274" t="s">
        <v>548</v>
      </c>
      <c r="L142" s="274" t="s">
        <v>549</v>
      </c>
      <c r="M142" s="274" t="s">
        <v>92</v>
      </c>
      <c r="N142" s="274" t="s">
        <v>91</v>
      </c>
      <c r="O142" s="284">
        <v>96.316400000000002</v>
      </c>
      <c r="P142" s="284">
        <v>25.61842</v>
      </c>
      <c r="Q142" s="285">
        <v>250</v>
      </c>
      <c r="R142" s="414">
        <v>12</v>
      </c>
      <c r="S142" s="414">
        <v>62</v>
      </c>
      <c r="T142" s="287">
        <f>IF(CampList[[#This Row],[HH]]&gt;0,CampList[[#This Row],[Total]]/CampList[[#This Row],[HH]],"NA")</f>
        <v>5.166666666666667</v>
      </c>
      <c r="U142" s="276" t="s">
        <v>465</v>
      </c>
      <c r="V142" s="276" t="s">
        <v>1013</v>
      </c>
      <c r="W142" s="276" t="s">
        <v>508</v>
      </c>
      <c r="X142" s="276" t="s">
        <v>743</v>
      </c>
      <c r="Y142" s="421">
        <v>41275</v>
      </c>
      <c r="Z142" s="288" t="s">
        <v>462</v>
      </c>
      <c r="AA142" s="308" t="s">
        <v>776</v>
      </c>
      <c r="AB142" s="290">
        <v>43008</v>
      </c>
      <c r="AC142" s="290"/>
      <c r="AD142" s="283" t="s">
        <v>1349</v>
      </c>
      <c r="AE142" s="276" t="str">
        <f ca="1">IFERROR(OFFSET(DistanceToCamp[Nearest Town],MATCH(CampList[[#This Row],[CP_Pcode]],DistanceToCamp[CP_Pcode],0)-1,0,1,1),"")</f>
        <v>Hpakant Town</v>
      </c>
      <c r="AF142" s="292">
        <f ca="1">IFERROR(OFFSET(DistanceToCamp[distance],MATCH(CampList[[#This Row],[CP_Pcode]],DistanceToCamp[CP_Pcode],0)-1,0,1,1),"")</f>
        <v>0.75842119772531946</v>
      </c>
      <c r="AG142" s="293">
        <f ca="1">IFERROR(INT(CampList[[#This Row],[Distance]]/5)+1,"")</f>
        <v>1</v>
      </c>
      <c r="AI142" s="489"/>
      <c r="AJ142" s="489"/>
    </row>
    <row r="143" spans="2:36" s="203" customFormat="1" ht="15.75" customHeight="1" x14ac:dyDescent="0.25">
      <c r="B143" s="283" t="s">
        <v>460</v>
      </c>
      <c r="C143" s="274" t="s">
        <v>378</v>
      </c>
      <c r="D143" s="274" t="s">
        <v>479</v>
      </c>
      <c r="E143" s="274" t="s">
        <v>180</v>
      </c>
      <c r="F143" s="274" t="s">
        <v>480</v>
      </c>
      <c r="G143" s="274" t="s">
        <v>481</v>
      </c>
      <c r="H143" s="274" t="s">
        <v>482</v>
      </c>
      <c r="I143" s="291" t="s">
        <v>553</v>
      </c>
      <c r="J143" s="291" t="s">
        <v>554</v>
      </c>
      <c r="K143" s="291" t="s">
        <v>553</v>
      </c>
      <c r="L143" s="291">
        <v>166773</v>
      </c>
      <c r="M143" s="274" t="s">
        <v>120</v>
      </c>
      <c r="N143" s="274" t="s">
        <v>119</v>
      </c>
      <c r="O143" s="284">
        <v>96.361609999999999</v>
      </c>
      <c r="P143" s="284">
        <v>25.656009999999998</v>
      </c>
      <c r="Q143" s="285">
        <v>317</v>
      </c>
      <c r="R143" s="654">
        <v>70</v>
      </c>
      <c r="S143" s="653">
        <v>350</v>
      </c>
      <c r="T143" s="287">
        <f>IF(CampList[[#This Row],[HH]]&gt;0,CampList[[#This Row],[Total]]/CampList[[#This Row],[HH]],"NA")</f>
        <v>5</v>
      </c>
      <c r="U143" s="276" t="s">
        <v>465</v>
      </c>
      <c r="V143" s="276" t="s">
        <v>1013</v>
      </c>
      <c r="W143" s="276" t="s">
        <v>508</v>
      </c>
      <c r="X143" s="276" t="s">
        <v>786</v>
      </c>
      <c r="Y143" s="421">
        <v>41275</v>
      </c>
      <c r="Z143" s="288" t="s">
        <v>943</v>
      </c>
      <c r="AA143" s="308" t="s">
        <v>776</v>
      </c>
      <c r="AB143" s="290">
        <v>43008</v>
      </c>
      <c r="AC143" s="290"/>
      <c r="AD143" s="283" t="s">
        <v>1328</v>
      </c>
      <c r="AE143" s="276" t="str">
        <f ca="1">IFERROR(OFFSET(DistanceToCamp[Nearest Town],MATCH(CampList[[#This Row],[CP_Pcode]],DistanceToCamp[CP_Pcode],0)-1,0,1,1),"")</f>
        <v>Hpakant Town</v>
      </c>
      <c r="AF143" s="292">
        <f ca="1">IFERROR(OFFSET(DistanceToCamp[distance],MATCH(CampList[[#This Row],[CP_Pcode]],DistanceToCamp[CP_Pcode],0)-1,0,1,1),"")</f>
        <v>6.3039408411778268</v>
      </c>
      <c r="AG143" s="293">
        <f ca="1">IFERROR(INT(CampList[[#This Row],[Distance]]/5)+1,"")</f>
        <v>2</v>
      </c>
      <c r="AI143" s="489"/>
      <c r="AJ143" s="489"/>
    </row>
    <row r="144" spans="2:36" s="203" customFormat="1" ht="15.75" customHeight="1" x14ac:dyDescent="0.25">
      <c r="B144" s="283" t="s">
        <v>460</v>
      </c>
      <c r="C144" s="274" t="s">
        <v>378</v>
      </c>
      <c r="D144" s="274" t="s">
        <v>479</v>
      </c>
      <c r="E144" s="274" t="s">
        <v>180</v>
      </c>
      <c r="F144" s="274" t="s">
        <v>480</v>
      </c>
      <c r="G144" s="274" t="s">
        <v>481</v>
      </c>
      <c r="H144" s="274" t="s">
        <v>482</v>
      </c>
      <c r="I144" s="291" t="s">
        <v>553</v>
      </c>
      <c r="J144" s="291" t="s">
        <v>554</v>
      </c>
      <c r="K144" s="291" t="s">
        <v>555</v>
      </c>
      <c r="L144" s="291">
        <v>166775</v>
      </c>
      <c r="M144" s="274" t="s">
        <v>52</v>
      </c>
      <c r="N144" s="274" t="s">
        <v>51</v>
      </c>
      <c r="O144" s="284">
        <v>96.346469999999997</v>
      </c>
      <c r="P144" s="284">
        <v>25.647649999999999</v>
      </c>
      <c r="Q144" s="285">
        <v>0</v>
      </c>
      <c r="R144" s="414">
        <v>37</v>
      </c>
      <c r="S144" s="654">
        <v>228</v>
      </c>
      <c r="T144" s="287">
        <f>IF(CampList[[#This Row],[HH]]&gt;0,CampList[[#This Row],[Total]]/CampList[[#This Row],[HH]],"NA")</f>
        <v>6.1621621621621623</v>
      </c>
      <c r="U144" s="276" t="s">
        <v>465</v>
      </c>
      <c r="V144" s="276" t="s">
        <v>1013</v>
      </c>
      <c r="W144" s="276" t="s">
        <v>508</v>
      </c>
      <c r="X144" s="276" t="s">
        <v>786</v>
      </c>
      <c r="Y144" s="421">
        <v>41275</v>
      </c>
      <c r="Z144" s="288" t="s">
        <v>424</v>
      </c>
      <c r="AA144" s="308" t="s">
        <v>776</v>
      </c>
      <c r="AB144" s="290">
        <v>43008</v>
      </c>
      <c r="AC144" s="290"/>
      <c r="AD144" s="283" t="s">
        <v>1723</v>
      </c>
      <c r="AE144" s="276" t="str">
        <f ca="1">IFERROR(OFFSET(DistanceToCamp[Nearest Town],MATCH(CampList[[#This Row],[CP_Pcode]],DistanceToCamp[CP_Pcode],0)-1,0,1,1),"")</f>
        <v>Hpakant Town</v>
      </c>
      <c r="AF144" s="292">
        <f ca="1">IFERROR(OFFSET(DistanceToCamp[distance],MATCH(CampList[[#This Row],[CP_Pcode]],DistanceToCamp[CP_Pcode],0)-1,0,1,1),"")</f>
        <v>5.184483270539272</v>
      </c>
      <c r="AG144" s="293">
        <f ca="1">IFERROR(INT(CampList[[#This Row],[Distance]]/5)+1,"")</f>
        <v>2</v>
      </c>
      <c r="AI144" s="489"/>
      <c r="AJ144" s="489"/>
    </row>
    <row r="145" spans="2:36" s="203" customFormat="1" ht="15.75" customHeight="1" x14ac:dyDescent="0.25">
      <c r="B145" s="283" t="s">
        <v>460</v>
      </c>
      <c r="C145" s="274" t="s">
        <v>378</v>
      </c>
      <c r="D145" s="274" t="s">
        <v>479</v>
      </c>
      <c r="E145" s="274" t="s">
        <v>180</v>
      </c>
      <c r="F145" s="274" t="s">
        <v>480</v>
      </c>
      <c r="G145" s="274" t="s">
        <v>481</v>
      </c>
      <c r="H145" s="274" t="s">
        <v>482</v>
      </c>
      <c r="I145" s="291" t="s">
        <v>553</v>
      </c>
      <c r="J145" s="291" t="s">
        <v>554</v>
      </c>
      <c r="K145" s="291" t="s">
        <v>1123</v>
      </c>
      <c r="L145" s="307">
        <v>216876</v>
      </c>
      <c r="M145" s="274" t="s">
        <v>76</v>
      </c>
      <c r="N145" s="274" t="s">
        <v>75</v>
      </c>
      <c r="O145" s="284">
        <v>96.35257</v>
      </c>
      <c r="P145" s="284">
        <v>25.637309999999999</v>
      </c>
      <c r="Q145" s="285">
        <v>277.60000000000002</v>
      </c>
      <c r="R145" s="414">
        <v>70</v>
      </c>
      <c r="S145" s="654">
        <v>376</v>
      </c>
      <c r="T145" s="287">
        <f>IF(CampList[[#This Row],[HH]]&gt;0,CampList[[#This Row],[Total]]/CampList[[#This Row],[HH]],"NA")</f>
        <v>5.371428571428571</v>
      </c>
      <c r="U145" s="276" t="s">
        <v>465</v>
      </c>
      <c r="V145" s="276" t="s">
        <v>1013</v>
      </c>
      <c r="W145" s="276" t="s">
        <v>508</v>
      </c>
      <c r="X145" s="224" t="s">
        <v>743</v>
      </c>
      <c r="Y145" s="421">
        <v>41275</v>
      </c>
      <c r="Z145" s="288" t="s">
        <v>462</v>
      </c>
      <c r="AA145" s="308" t="s">
        <v>776</v>
      </c>
      <c r="AB145" s="290">
        <v>43008</v>
      </c>
      <c r="AC145" s="290"/>
      <c r="AD145" s="283" t="s">
        <v>1350</v>
      </c>
      <c r="AE145" s="276" t="str">
        <f ca="1">IFERROR(OFFSET(DistanceToCamp[Nearest Town],MATCH(CampList[[#This Row],[CP_Pcode]],DistanceToCamp[CP_Pcode],0)-1,0,1,1),"")</f>
        <v>Hpakant Town</v>
      </c>
      <c r="AF145" s="292">
        <f ca="1">IFERROR(OFFSET(DistanceToCamp[distance],MATCH(CampList[[#This Row],[CP_Pcode]],DistanceToCamp[CP_Pcode],0)-1,0,1,1),"")</f>
        <v>4.8862832644478198</v>
      </c>
      <c r="AG145" s="293">
        <f ca="1">IFERROR(INT(CampList[[#This Row],[Distance]]/5)+1,"")</f>
        <v>1</v>
      </c>
      <c r="AI145" s="489"/>
      <c r="AJ145" s="489"/>
    </row>
    <row r="146" spans="2:36" s="203" customFormat="1" ht="15.75" hidden="1" customHeight="1" x14ac:dyDescent="0.25">
      <c r="B146" s="283" t="s">
        <v>777</v>
      </c>
      <c r="C146" s="274" t="s">
        <v>378</v>
      </c>
      <c r="D146" s="274" t="s">
        <v>479</v>
      </c>
      <c r="E146" s="274" t="s">
        <v>180</v>
      </c>
      <c r="F146" s="274" t="s">
        <v>480</v>
      </c>
      <c r="G146" s="274" t="s">
        <v>481</v>
      </c>
      <c r="H146" s="274" t="s">
        <v>482</v>
      </c>
      <c r="I146" s="291" t="s">
        <v>544</v>
      </c>
      <c r="J146" s="291" t="s">
        <v>545</v>
      </c>
      <c r="K146" s="291" t="s">
        <v>642</v>
      </c>
      <c r="L146" s="291" t="s">
        <v>643</v>
      </c>
      <c r="M146" s="274" t="s">
        <v>66</v>
      </c>
      <c r="N146" s="274" t="s">
        <v>65</v>
      </c>
      <c r="O146" s="284"/>
      <c r="P146" s="284"/>
      <c r="Q146" s="301"/>
      <c r="R146" s="376">
        <v>0</v>
      </c>
      <c r="S146" s="377">
        <v>0</v>
      </c>
      <c r="T146" s="287" t="str">
        <f>IF(CampList[[#This Row],[HH]]&gt;0,CampList[[#This Row],[Total]]/CampList[[#This Row],[HH]],"NA")</f>
        <v>NA</v>
      </c>
      <c r="U146" s="276" t="s">
        <v>465</v>
      </c>
      <c r="V146" s="294" t="s">
        <v>1013</v>
      </c>
      <c r="W146" s="276" t="s">
        <v>508</v>
      </c>
      <c r="X146" s="294"/>
      <c r="Y146" s="310"/>
      <c r="Z146" s="311"/>
      <c r="AA146" s="308"/>
      <c r="AB146" s="314"/>
      <c r="AC146" s="314"/>
      <c r="AD146" s="283" t="s">
        <v>542</v>
      </c>
      <c r="AE146" s="276" t="str">
        <f ca="1">IFERROR(OFFSET(DistanceToCamp[Nearest Town],MATCH(CampList[[#This Row],[CP_Pcode]],DistanceToCamp[CP_Pcode],0)-1,0,1,1),"")</f>
        <v/>
      </c>
      <c r="AF146" s="292" t="str">
        <f ca="1">IFERROR(OFFSET(DistanceToCamp[distance],MATCH(CampList[[#This Row],[CP_Pcode]],DistanceToCamp[CP_Pcode],0)-1,0,1,1),"")</f>
        <v/>
      </c>
      <c r="AG146" s="293" t="str">
        <f ca="1">IFERROR(INT(CampList[[#This Row],[Distance]]/5)+1,"")</f>
        <v/>
      </c>
      <c r="AI146" s="489"/>
      <c r="AJ146" s="489"/>
    </row>
    <row r="147" spans="2:36" s="203" customFormat="1" ht="15.75" hidden="1" customHeight="1" x14ac:dyDescent="0.25">
      <c r="B147" s="283" t="s">
        <v>777</v>
      </c>
      <c r="C147" s="274" t="s">
        <v>378</v>
      </c>
      <c r="D147" s="274" t="s">
        <v>479</v>
      </c>
      <c r="E147" s="274" t="s">
        <v>180</v>
      </c>
      <c r="F147" s="274" t="s">
        <v>480</v>
      </c>
      <c r="G147" s="274" t="s">
        <v>481</v>
      </c>
      <c r="H147" s="274" t="s">
        <v>482</v>
      </c>
      <c r="I147" s="291" t="s">
        <v>544</v>
      </c>
      <c r="J147" s="291" t="s">
        <v>545</v>
      </c>
      <c r="K147" s="291" t="s">
        <v>642</v>
      </c>
      <c r="L147" s="291" t="s">
        <v>643</v>
      </c>
      <c r="M147" s="274" t="s">
        <v>80</v>
      </c>
      <c r="N147" s="274" t="s">
        <v>79</v>
      </c>
      <c r="O147" s="284"/>
      <c r="P147" s="284"/>
      <c r="Q147" s="301"/>
      <c r="R147" s="376">
        <v>0</v>
      </c>
      <c r="S147" s="377">
        <v>0</v>
      </c>
      <c r="T147" s="287" t="str">
        <f>IF(CampList[[#This Row],[HH]]&gt;0,CampList[[#This Row],[Total]]/CampList[[#This Row],[HH]],"NA")</f>
        <v>NA</v>
      </c>
      <c r="U147" s="276" t="s">
        <v>465</v>
      </c>
      <c r="V147" s="294" t="s">
        <v>1013</v>
      </c>
      <c r="W147" s="276" t="s">
        <v>508</v>
      </c>
      <c r="X147" s="294"/>
      <c r="Y147" s="310"/>
      <c r="Z147" s="311"/>
      <c r="AA147" s="308"/>
      <c r="AB147" s="314"/>
      <c r="AC147" s="314"/>
      <c r="AD147" s="283" t="s">
        <v>542</v>
      </c>
      <c r="AE147" s="276" t="str">
        <f ca="1">IFERROR(OFFSET(DistanceToCamp[Nearest Town],MATCH(CampList[[#This Row],[CP_Pcode]],DistanceToCamp[CP_Pcode],0)-1,0,1,1),"")</f>
        <v/>
      </c>
      <c r="AF147" s="292" t="str">
        <f ca="1">IFERROR(OFFSET(DistanceToCamp[distance],MATCH(CampList[[#This Row],[CP_Pcode]],DistanceToCamp[CP_Pcode],0)-1,0,1,1),"")</f>
        <v/>
      </c>
      <c r="AG147" s="293" t="str">
        <f ca="1">IFERROR(INT(CampList[[#This Row],[Distance]]/5)+1,"")</f>
        <v/>
      </c>
      <c r="AI147" s="489"/>
      <c r="AJ147" s="489"/>
    </row>
    <row r="148" spans="2:36" s="203" customFormat="1" ht="15.75" hidden="1" customHeight="1" x14ac:dyDescent="0.25">
      <c r="B148" s="283" t="s">
        <v>777</v>
      </c>
      <c r="C148" s="274" t="s">
        <v>378</v>
      </c>
      <c r="D148" s="274" t="s">
        <v>479</v>
      </c>
      <c r="E148" s="274" t="s">
        <v>180</v>
      </c>
      <c r="F148" s="274" t="s">
        <v>480</v>
      </c>
      <c r="G148" s="274" t="s">
        <v>481</v>
      </c>
      <c r="H148" s="274" t="s">
        <v>482</v>
      </c>
      <c r="I148" s="291" t="s">
        <v>544</v>
      </c>
      <c r="J148" s="291" t="s">
        <v>545</v>
      </c>
      <c r="K148" s="291" t="s">
        <v>642</v>
      </c>
      <c r="L148" s="291" t="s">
        <v>643</v>
      </c>
      <c r="M148" s="274" t="s">
        <v>102</v>
      </c>
      <c r="N148" s="274" t="s">
        <v>101</v>
      </c>
      <c r="O148" s="284"/>
      <c r="P148" s="284"/>
      <c r="Q148" s="301"/>
      <c r="R148" s="376">
        <v>0</v>
      </c>
      <c r="S148" s="377">
        <v>0</v>
      </c>
      <c r="T148" s="287" t="str">
        <f>IF(CampList[[#This Row],[HH]]&gt;0,CampList[[#This Row],[Total]]/CampList[[#This Row],[HH]],"NA")</f>
        <v>NA</v>
      </c>
      <c r="U148" s="276" t="s">
        <v>465</v>
      </c>
      <c r="V148" s="294" t="s">
        <v>1013</v>
      </c>
      <c r="W148" s="276" t="s">
        <v>508</v>
      </c>
      <c r="X148" s="294"/>
      <c r="Y148" s="310"/>
      <c r="Z148" s="311"/>
      <c r="AA148" s="308"/>
      <c r="AB148" s="314"/>
      <c r="AC148" s="314"/>
      <c r="AD148" s="283" t="s">
        <v>542</v>
      </c>
      <c r="AE148" s="276" t="str">
        <f ca="1">IFERROR(OFFSET(DistanceToCamp[Nearest Town],MATCH(CampList[[#This Row],[CP_Pcode]],DistanceToCamp[CP_Pcode],0)-1,0,1,1),"")</f>
        <v/>
      </c>
      <c r="AF148" s="292" t="str">
        <f ca="1">IFERROR(OFFSET(DistanceToCamp[distance],MATCH(CampList[[#This Row],[CP_Pcode]],DistanceToCamp[CP_Pcode],0)-1,0,1,1),"")</f>
        <v/>
      </c>
      <c r="AG148" s="293" t="str">
        <f ca="1">IFERROR(INT(CampList[[#This Row],[Distance]]/5)+1,"")</f>
        <v/>
      </c>
      <c r="AI148" s="489"/>
      <c r="AJ148" s="489"/>
    </row>
    <row r="149" spans="2:36" s="203" customFormat="1" ht="15.75" hidden="1" customHeight="1" x14ac:dyDescent="0.25">
      <c r="B149" s="283" t="s">
        <v>777</v>
      </c>
      <c r="C149" s="274" t="s">
        <v>378</v>
      </c>
      <c r="D149" s="274" t="s">
        <v>479</v>
      </c>
      <c r="E149" s="274" t="s">
        <v>180</v>
      </c>
      <c r="F149" s="274" t="s">
        <v>480</v>
      </c>
      <c r="G149" s="274" t="s">
        <v>481</v>
      </c>
      <c r="H149" s="274" t="s">
        <v>482</v>
      </c>
      <c r="I149" s="291" t="s">
        <v>544</v>
      </c>
      <c r="J149" s="291" t="s">
        <v>545</v>
      </c>
      <c r="K149" s="291" t="s">
        <v>642</v>
      </c>
      <c r="L149" s="291" t="s">
        <v>643</v>
      </c>
      <c r="M149" s="274" t="s">
        <v>106</v>
      </c>
      <c r="N149" s="274" t="s">
        <v>105</v>
      </c>
      <c r="O149" s="284"/>
      <c r="P149" s="284"/>
      <c r="Q149" s="301"/>
      <c r="R149" s="376">
        <v>0</v>
      </c>
      <c r="S149" s="377">
        <v>0</v>
      </c>
      <c r="T149" s="287" t="str">
        <f>IF(CampList[[#This Row],[HH]]&gt;0,CampList[[#This Row],[Total]]/CampList[[#This Row],[HH]],"NA")</f>
        <v>NA</v>
      </c>
      <c r="U149" s="276" t="s">
        <v>465</v>
      </c>
      <c r="V149" s="294" t="s">
        <v>1013</v>
      </c>
      <c r="W149" s="276" t="s">
        <v>508</v>
      </c>
      <c r="X149" s="294"/>
      <c r="Y149" s="310"/>
      <c r="Z149" s="311"/>
      <c r="AA149" s="308"/>
      <c r="AB149" s="314"/>
      <c r="AC149" s="314"/>
      <c r="AD149" s="283" t="s">
        <v>542</v>
      </c>
      <c r="AE149" s="276" t="str">
        <f ca="1">IFERROR(OFFSET(DistanceToCamp[Nearest Town],MATCH(CampList[[#This Row],[CP_Pcode]],DistanceToCamp[CP_Pcode],0)-1,0,1,1),"")</f>
        <v/>
      </c>
      <c r="AF149" s="292" t="str">
        <f ca="1">IFERROR(OFFSET(DistanceToCamp[distance],MATCH(CampList[[#This Row],[CP_Pcode]],DistanceToCamp[CP_Pcode],0)-1,0,1,1),"")</f>
        <v/>
      </c>
      <c r="AG149" s="293" t="str">
        <f ca="1">IFERROR(INT(CampList[[#This Row],[Distance]]/5)+1,"")</f>
        <v/>
      </c>
      <c r="AI149" s="489"/>
      <c r="AJ149" s="489"/>
    </row>
    <row r="150" spans="2:36" s="203" customFormat="1" ht="15.75" customHeight="1" x14ac:dyDescent="0.25">
      <c r="B150" s="283" t="s">
        <v>460</v>
      </c>
      <c r="C150" s="274" t="s">
        <v>378</v>
      </c>
      <c r="D150" s="274" t="s">
        <v>479</v>
      </c>
      <c r="E150" s="274" t="s">
        <v>180</v>
      </c>
      <c r="F150" s="274" t="s">
        <v>480</v>
      </c>
      <c r="G150" s="274" t="s">
        <v>481</v>
      </c>
      <c r="H150" s="274" t="s">
        <v>482</v>
      </c>
      <c r="I150" s="291" t="s">
        <v>553</v>
      </c>
      <c r="J150" s="291" t="s">
        <v>554</v>
      </c>
      <c r="K150" s="291" t="s">
        <v>553</v>
      </c>
      <c r="L150" s="296">
        <v>166773</v>
      </c>
      <c r="M150" s="274" t="s">
        <v>41</v>
      </c>
      <c r="N150" s="274" t="s">
        <v>40</v>
      </c>
      <c r="O150" s="284">
        <v>96.345569999999995</v>
      </c>
      <c r="P150" s="284">
        <v>25.635300000000001</v>
      </c>
      <c r="Q150" s="285">
        <v>0</v>
      </c>
      <c r="R150" s="654">
        <v>65</v>
      </c>
      <c r="S150" s="654">
        <v>350</v>
      </c>
      <c r="T150" s="287">
        <f>IF(CampList[[#This Row],[HH]]&gt;0,CampList[[#This Row],[Total]]/CampList[[#This Row],[HH]],"NA")</f>
        <v>5.384615384615385</v>
      </c>
      <c r="U150" s="276" t="s">
        <v>465</v>
      </c>
      <c r="V150" s="276" t="s">
        <v>1013</v>
      </c>
      <c r="W150" s="276" t="s">
        <v>508</v>
      </c>
      <c r="X150" s="276" t="s">
        <v>743</v>
      </c>
      <c r="Y150" s="421">
        <v>41275</v>
      </c>
      <c r="Z150" s="288" t="s">
        <v>462</v>
      </c>
      <c r="AA150" s="308" t="s">
        <v>776</v>
      </c>
      <c r="AB150" s="290">
        <v>43008</v>
      </c>
      <c r="AC150" s="290"/>
      <c r="AD150" s="283" t="s">
        <v>1352</v>
      </c>
      <c r="AE150" s="276" t="str">
        <f ca="1">IFERROR(OFFSET(DistanceToCamp[Nearest Town],MATCH(CampList[[#This Row],[CP_Pcode]],DistanceToCamp[CP_Pcode],0)-1,0,1,1),"")</f>
        <v>Hpakant Town</v>
      </c>
      <c r="AF150" s="292">
        <f ca="1">IFERROR(OFFSET(DistanceToCamp[distance],MATCH(CampList[[#This Row],[CP_Pcode]],DistanceToCamp[CP_Pcode],0)-1,0,1,1),"")</f>
        <v>4.1842484710239098</v>
      </c>
      <c r="AG150" s="293">
        <f ca="1">IFERROR(INT(CampList[[#This Row],[Distance]]/5)+1,"")</f>
        <v>1</v>
      </c>
      <c r="AI150" s="489"/>
      <c r="AJ150" s="489"/>
    </row>
    <row r="151" spans="2:36" s="203" customFormat="1" ht="15.75" hidden="1" customHeight="1" x14ac:dyDescent="0.25">
      <c r="B151" s="283" t="s">
        <v>777</v>
      </c>
      <c r="C151" s="274" t="s">
        <v>378</v>
      </c>
      <c r="D151" s="274" t="s">
        <v>479</v>
      </c>
      <c r="E151" s="274" t="s">
        <v>180</v>
      </c>
      <c r="F151" s="274" t="s">
        <v>480</v>
      </c>
      <c r="G151" s="274" t="s">
        <v>481</v>
      </c>
      <c r="H151" s="274" t="s">
        <v>482</v>
      </c>
      <c r="I151" s="291" t="s">
        <v>544</v>
      </c>
      <c r="J151" s="291" t="s">
        <v>545</v>
      </c>
      <c r="K151" s="291" t="s">
        <v>642</v>
      </c>
      <c r="L151" s="291" t="s">
        <v>643</v>
      </c>
      <c r="M151" s="274" t="s">
        <v>116</v>
      </c>
      <c r="N151" s="274" t="s">
        <v>115</v>
      </c>
      <c r="O151" s="284"/>
      <c r="P151" s="284"/>
      <c r="Q151" s="301"/>
      <c r="R151" s="376">
        <v>0</v>
      </c>
      <c r="S151" s="377">
        <v>0</v>
      </c>
      <c r="T151" s="287" t="str">
        <f>IF(CampList[[#This Row],[HH]]&gt;0,CampList[[#This Row],[Total]]/CampList[[#This Row],[HH]],"NA")</f>
        <v>NA</v>
      </c>
      <c r="U151" s="276" t="s">
        <v>465</v>
      </c>
      <c r="V151" s="294" t="s">
        <v>1013</v>
      </c>
      <c r="W151" s="276" t="s">
        <v>508</v>
      </c>
      <c r="X151" s="294"/>
      <c r="Y151" s="310"/>
      <c r="Z151" s="311"/>
      <c r="AA151" s="308"/>
      <c r="AB151" s="314"/>
      <c r="AC151" s="314"/>
      <c r="AD151" s="283" t="s">
        <v>542</v>
      </c>
      <c r="AE151" s="276" t="str">
        <f ca="1">IFERROR(OFFSET(DistanceToCamp[Nearest Town],MATCH(CampList[[#This Row],[CP_Pcode]],DistanceToCamp[CP_Pcode],0)-1,0,1,1),"")</f>
        <v/>
      </c>
      <c r="AF151" s="292" t="str">
        <f ca="1">IFERROR(OFFSET(DistanceToCamp[distance],MATCH(CampList[[#This Row],[CP_Pcode]],DistanceToCamp[CP_Pcode],0)-1,0,1,1),"")</f>
        <v/>
      </c>
      <c r="AG151" s="293" t="str">
        <f ca="1">IFERROR(INT(CampList[[#This Row],[Distance]]/5)+1,"")</f>
        <v/>
      </c>
      <c r="AI151" s="489"/>
      <c r="AJ151" s="489"/>
    </row>
    <row r="152" spans="2:36" s="203" customFormat="1" ht="15.75" hidden="1" customHeight="1" x14ac:dyDescent="0.25">
      <c r="B152" s="445" t="s">
        <v>777</v>
      </c>
      <c r="C152" s="424" t="s">
        <v>378</v>
      </c>
      <c r="D152" s="424" t="s">
        <v>479</v>
      </c>
      <c r="E152" s="424" t="s">
        <v>180</v>
      </c>
      <c r="F152" s="424" t="s">
        <v>480</v>
      </c>
      <c r="G152" s="424" t="s">
        <v>481</v>
      </c>
      <c r="H152" s="424" t="s">
        <v>482</v>
      </c>
      <c r="I152" s="446" t="s">
        <v>553</v>
      </c>
      <c r="J152" s="446" t="s">
        <v>554</v>
      </c>
      <c r="K152" s="446" t="s">
        <v>553</v>
      </c>
      <c r="L152" s="446">
        <v>166773</v>
      </c>
      <c r="M152" s="424" t="s">
        <v>62</v>
      </c>
      <c r="N152" s="424" t="s">
        <v>61</v>
      </c>
      <c r="O152" s="447">
        <v>96.355270000000004</v>
      </c>
      <c r="P152" s="447">
        <v>25.656130000000001</v>
      </c>
      <c r="Q152" s="448">
        <v>0</v>
      </c>
      <c r="R152" s="449"/>
      <c r="S152" s="449"/>
      <c r="T152" s="450" t="str">
        <f>IF(CampList[[#This Row],[HH]]&gt;0,CampList[[#This Row],[Total]]/CampList[[#This Row],[HH]],"NA")</f>
        <v>NA</v>
      </c>
      <c r="U152" s="451" t="s">
        <v>465</v>
      </c>
      <c r="V152" s="451" t="s">
        <v>1013</v>
      </c>
      <c r="W152" s="451" t="s">
        <v>508</v>
      </c>
      <c r="X152" s="451" t="s">
        <v>786</v>
      </c>
      <c r="Y152" s="452">
        <v>41275</v>
      </c>
      <c r="Z152" s="453" t="s">
        <v>424</v>
      </c>
      <c r="AA152" s="454" t="s">
        <v>776</v>
      </c>
      <c r="AB152" s="456">
        <v>42919</v>
      </c>
      <c r="AC152" s="456"/>
      <c r="AD152" s="445" t="s">
        <v>1419</v>
      </c>
      <c r="AE152" s="451" t="str">
        <f ca="1">IFERROR(OFFSET(DistanceToCamp[Nearest Town],MATCH(CampList[[#This Row],[CP_Pcode]],DistanceToCamp[CP_Pcode],0)-1,0,1,1),"")</f>
        <v>Hpakant Town</v>
      </c>
      <c r="AF152" s="457">
        <f ca="1">IFERROR(OFFSET(DistanceToCamp[distance],MATCH(CampList[[#This Row],[CP_Pcode]],DistanceToCamp[CP_Pcode],0)-1,0,1,1),"")</f>
        <v>6.4753396248436657</v>
      </c>
      <c r="AG152" s="458">
        <f ca="1">IFERROR(INT(CampList[[#This Row],[Distance]]/5)+1,"")</f>
        <v>2</v>
      </c>
      <c r="AI152" s="489"/>
      <c r="AJ152" s="489"/>
    </row>
    <row r="153" spans="2:36" s="203" customFormat="1" ht="15.75" hidden="1" customHeight="1" x14ac:dyDescent="0.25">
      <c r="B153" s="283" t="s">
        <v>777</v>
      </c>
      <c r="C153" s="274" t="s">
        <v>378</v>
      </c>
      <c r="D153" s="274" t="s">
        <v>479</v>
      </c>
      <c r="E153" s="274" t="s">
        <v>180</v>
      </c>
      <c r="F153" s="274" t="s">
        <v>480</v>
      </c>
      <c r="G153" s="274" t="s">
        <v>481</v>
      </c>
      <c r="H153" s="274" t="s">
        <v>482</v>
      </c>
      <c r="I153" s="291" t="s">
        <v>544</v>
      </c>
      <c r="J153" s="291" t="s">
        <v>545</v>
      </c>
      <c r="K153" s="291" t="s">
        <v>642</v>
      </c>
      <c r="L153" s="291" t="s">
        <v>643</v>
      </c>
      <c r="M153" s="274" t="s">
        <v>130</v>
      </c>
      <c r="N153" s="274" t="s">
        <v>129</v>
      </c>
      <c r="O153" s="284"/>
      <c r="P153" s="284"/>
      <c r="Q153" s="301"/>
      <c r="R153" s="376">
        <v>0</v>
      </c>
      <c r="S153" s="377">
        <v>0</v>
      </c>
      <c r="T153" s="287" t="str">
        <f>IF(CampList[[#This Row],[HH]]&gt;0,CampList[[#This Row],[Total]]/CampList[[#This Row],[HH]],"NA")</f>
        <v>NA</v>
      </c>
      <c r="U153" s="276" t="s">
        <v>465</v>
      </c>
      <c r="V153" s="294" t="s">
        <v>1013</v>
      </c>
      <c r="W153" s="276" t="s">
        <v>508</v>
      </c>
      <c r="X153" s="294"/>
      <c r="Y153" s="310"/>
      <c r="Z153" s="311"/>
      <c r="AA153" s="308"/>
      <c r="AB153" s="314"/>
      <c r="AC153" s="314"/>
      <c r="AD153" s="283" t="s">
        <v>542</v>
      </c>
      <c r="AE153" s="276" t="str">
        <f ca="1">IFERROR(OFFSET(DistanceToCamp[Nearest Town],MATCH(CampList[[#This Row],[CP_Pcode]],DistanceToCamp[CP_Pcode],0)-1,0,1,1),"")</f>
        <v/>
      </c>
      <c r="AF153" s="292" t="str">
        <f ca="1">IFERROR(OFFSET(DistanceToCamp[distance],MATCH(CampList[[#This Row],[CP_Pcode]],DistanceToCamp[CP_Pcode],0)-1,0,1,1),"")</f>
        <v/>
      </c>
      <c r="AG153" s="293" t="str">
        <f ca="1">IFERROR(INT(CampList[[#This Row],[Distance]]/5)+1,"")</f>
        <v/>
      </c>
      <c r="AI153" s="489"/>
      <c r="AJ153" s="489"/>
    </row>
    <row r="154" spans="2:36" s="203" customFormat="1" ht="15.75" hidden="1" customHeight="1" x14ac:dyDescent="0.25">
      <c r="B154" s="283" t="s">
        <v>777</v>
      </c>
      <c r="C154" s="274" t="s">
        <v>378</v>
      </c>
      <c r="D154" s="274" t="s">
        <v>479</v>
      </c>
      <c r="E154" s="274" t="s">
        <v>180</v>
      </c>
      <c r="F154" s="274" t="s">
        <v>480</v>
      </c>
      <c r="G154" s="274" t="s">
        <v>481</v>
      </c>
      <c r="H154" s="274" t="s">
        <v>482</v>
      </c>
      <c r="I154" s="291" t="s">
        <v>544</v>
      </c>
      <c r="J154" s="291" t="s">
        <v>545</v>
      </c>
      <c r="K154" s="291" t="s">
        <v>642</v>
      </c>
      <c r="L154" s="291" t="s">
        <v>643</v>
      </c>
      <c r="M154" s="274" t="s">
        <v>138</v>
      </c>
      <c r="N154" s="274" t="s">
        <v>137</v>
      </c>
      <c r="O154" s="284"/>
      <c r="P154" s="284"/>
      <c r="Q154" s="301"/>
      <c r="R154" s="376">
        <v>0</v>
      </c>
      <c r="S154" s="377">
        <v>0</v>
      </c>
      <c r="T154" s="287" t="str">
        <f>IF(CampList[[#This Row],[HH]]&gt;0,CampList[[#This Row],[Total]]/CampList[[#This Row],[HH]],"NA")</f>
        <v>NA</v>
      </c>
      <c r="U154" s="276" t="s">
        <v>465</v>
      </c>
      <c r="V154" s="294" t="s">
        <v>1013</v>
      </c>
      <c r="W154" s="276" t="s">
        <v>508</v>
      </c>
      <c r="X154" s="294"/>
      <c r="Y154" s="310"/>
      <c r="Z154" s="311"/>
      <c r="AA154" s="308"/>
      <c r="AB154" s="314"/>
      <c r="AC154" s="314"/>
      <c r="AD154" s="283" t="s">
        <v>542</v>
      </c>
      <c r="AE154" s="276" t="str">
        <f ca="1">IFERROR(OFFSET(DistanceToCamp[Nearest Town],MATCH(CampList[[#This Row],[CP_Pcode]],DistanceToCamp[CP_Pcode],0)-1,0,1,1),"")</f>
        <v/>
      </c>
      <c r="AF154" s="292" t="str">
        <f ca="1">IFERROR(OFFSET(DistanceToCamp[distance],MATCH(CampList[[#This Row],[CP_Pcode]],DistanceToCamp[CP_Pcode],0)-1,0,1,1),"")</f>
        <v/>
      </c>
      <c r="AG154" s="293" t="str">
        <f ca="1">IFERROR(INT(CampList[[#This Row],[Distance]]/5)+1,"")</f>
        <v/>
      </c>
      <c r="AI154" s="489"/>
      <c r="AJ154" s="489"/>
    </row>
    <row r="155" spans="2:36" s="203" customFormat="1" ht="15.75" customHeight="1" x14ac:dyDescent="0.25">
      <c r="B155" s="283" t="s">
        <v>460</v>
      </c>
      <c r="C155" s="274" t="s">
        <v>378</v>
      </c>
      <c r="D155" s="274" t="s">
        <v>479</v>
      </c>
      <c r="E155" s="274" t="s">
        <v>180</v>
      </c>
      <c r="F155" s="274" t="s">
        <v>480</v>
      </c>
      <c r="G155" s="274" t="s">
        <v>481</v>
      </c>
      <c r="H155" s="274" t="s">
        <v>482</v>
      </c>
      <c r="I155" s="274" t="s">
        <v>539</v>
      </c>
      <c r="J155" s="274" t="s">
        <v>540</v>
      </c>
      <c r="K155" s="291" t="s">
        <v>541</v>
      </c>
      <c r="L155" s="291">
        <v>166785</v>
      </c>
      <c r="M155" s="274" t="s">
        <v>90</v>
      </c>
      <c r="N155" s="274" t="s">
        <v>89</v>
      </c>
      <c r="O155" s="284">
        <v>96.269199999999998</v>
      </c>
      <c r="P155" s="284">
        <v>25.566510000000001</v>
      </c>
      <c r="Q155" s="285">
        <v>278</v>
      </c>
      <c r="R155" s="414">
        <v>19</v>
      </c>
      <c r="S155" s="654">
        <v>100</v>
      </c>
      <c r="T155" s="287">
        <f>IF(CampList[[#This Row],[HH]]&gt;0,CampList[[#This Row],[Total]]/CampList[[#This Row],[HH]],"NA")</f>
        <v>5.2631578947368425</v>
      </c>
      <c r="U155" s="276" t="s">
        <v>465</v>
      </c>
      <c r="V155" s="276" t="s">
        <v>1013</v>
      </c>
      <c r="W155" s="276" t="s">
        <v>508</v>
      </c>
      <c r="X155" s="276" t="s">
        <v>786</v>
      </c>
      <c r="Y155" s="421">
        <v>41275</v>
      </c>
      <c r="Z155" s="288" t="s">
        <v>462</v>
      </c>
      <c r="AA155" s="308" t="s">
        <v>776</v>
      </c>
      <c r="AB155" s="290">
        <v>43008</v>
      </c>
      <c r="AC155" s="290"/>
      <c r="AD155" s="283" t="s">
        <v>1353</v>
      </c>
      <c r="AE155" s="276" t="str">
        <f ca="1">IFERROR(OFFSET(DistanceToCamp[Nearest Town],MATCH(CampList[[#This Row],[CP_Pcode]],DistanceToCamp[CP_Pcode],0)-1,0,1,1),"")</f>
        <v>Hpakant Town</v>
      </c>
      <c r="AF155" s="292">
        <f ca="1">IFERROR(OFFSET(DistanceToCamp[distance],MATCH(CampList[[#This Row],[CP_Pcode]],DistanceToCamp[CP_Pcode],0)-1,0,1,1),"")</f>
        <v>6.7094919928483892</v>
      </c>
      <c r="AG155" s="293">
        <f ca="1">IFERROR(INT(CampList[[#This Row],[Distance]]/5)+1,"")</f>
        <v>2</v>
      </c>
      <c r="AI155" s="489"/>
      <c r="AJ155" s="489"/>
    </row>
    <row r="156" spans="2:36" s="203" customFormat="1" ht="15.75" hidden="1" customHeight="1" x14ac:dyDescent="0.25">
      <c r="B156" s="283" t="s">
        <v>777</v>
      </c>
      <c r="C156" s="274" t="s">
        <v>378</v>
      </c>
      <c r="D156" s="274" t="s">
        <v>479</v>
      </c>
      <c r="E156" s="274" t="s">
        <v>180</v>
      </c>
      <c r="F156" s="274" t="s">
        <v>480</v>
      </c>
      <c r="G156" s="274" t="s">
        <v>481</v>
      </c>
      <c r="H156" s="274" t="s">
        <v>482</v>
      </c>
      <c r="I156" s="274"/>
      <c r="J156" s="274"/>
      <c r="K156" s="274"/>
      <c r="L156" s="274"/>
      <c r="M156" s="274" t="s">
        <v>136</v>
      </c>
      <c r="N156" s="274" t="s">
        <v>135</v>
      </c>
      <c r="O156" s="284">
        <v>96.343350000000001</v>
      </c>
      <c r="P156" s="284">
        <v>25.6447</v>
      </c>
      <c r="Q156" s="301"/>
      <c r="R156" s="376">
        <v>0</v>
      </c>
      <c r="S156" s="377">
        <v>0</v>
      </c>
      <c r="T156" s="287" t="str">
        <f>IF(CampList[[#This Row],[HH]]&gt;0,CampList[[#This Row],[Total]]/CampList[[#This Row],[HH]],"NA")</f>
        <v>NA</v>
      </c>
      <c r="U156" s="276" t="s">
        <v>465</v>
      </c>
      <c r="V156" s="294" t="s">
        <v>1013</v>
      </c>
      <c r="W156" s="276" t="s">
        <v>508</v>
      </c>
      <c r="X156" s="294"/>
      <c r="Y156" s="310"/>
      <c r="Z156" s="311"/>
      <c r="AA156" s="403"/>
      <c r="AB156" s="314"/>
      <c r="AC156" s="314"/>
      <c r="AD156" s="283" t="s">
        <v>542</v>
      </c>
      <c r="AE156" s="276" t="str">
        <f ca="1">IFERROR(OFFSET(DistanceToCamp[Nearest Town],MATCH(CampList[[#This Row],[CP_Pcode]],DistanceToCamp[CP_Pcode],0)-1,0,1,1),"")</f>
        <v/>
      </c>
      <c r="AF156" s="292" t="str">
        <f ca="1">IFERROR(OFFSET(DistanceToCamp[distance],MATCH(CampList[[#This Row],[CP_Pcode]],DistanceToCamp[CP_Pcode],0)-1,0,1,1),"")</f>
        <v/>
      </c>
      <c r="AG156" s="293" t="str">
        <f ca="1">IFERROR(INT(CampList[[#This Row],[Distance]]/5)+1,"")</f>
        <v/>
      </c>
      <c r="AI156" s="489"/>
      <c r="AJ156" s="489"/>
    </row>
    <row r="157" spans="2:36" s="203" customFormat="1" ht="15.75" customHeight="1" x14ac:dyDescent="0.25">
      <c r="B157" s="283" t="s">
        <v>460</v>
      </c>
      <c r="C157" s="274" t="s">
        <v>378</v>
      </c>
      <c r="D157" s="274" t="s">
        <v>479</v>
      </c>
      <c r="E157" s="274" t="s">
        <v>180</v>
      </c>
      <c r="F157" s="274" t="s">
        <v>480</v>
      </c>
      <c r="G157" s="274" t="s">
        <v>481</v>
      </c>
      <c r="H157" s="274" t="s">
        <v>482</v>
      </c>
      <c r="I157" s="274" t="s">
        <v>539</v>
      </c>
      <c r="J157" s="274" t="s">
        <v>540</v>
      </c>
      <c r="K157" s="274" t="s">
        <v>541</v>
      </c>
      <c r="L157" s="274">
        <v>166785</v>
      </c>
      <c r="M157" s="274" t="s">
        <v>118</v>
      </c>
      <c r="N157" s="274" t="s">
        <v>117</v>
      </c>
      <c r="O157" s="284">
        <v>96.279200000000003</v>
      </c>
      <c r="P157" s="284">
        <v>25.56551</v>
      </c>
      <c r="Q157" s="285">
        <v>259</v>
      </c>
      <c r="R157" s="653">
        <v>11</v>
      </c>
      <c r="S157" s="654">
        <v>36</v>
      </c>
      <c r="T157" s="287">
        <f>IF(CampList[[#This Row],[HH]]&gt;0,CampList[[#This Row],[Total]]/CampList[[#This Row],[HH]],"NA")</f>
        <v>3.2727272727272729</v>
      </c>
      <c r="U157" s="276" t="s">
        <v>465</v>
      </c>
      <c r="V157" s="276" t="s">
        <v>1013</v>
      </c>
      <c r="W157" s="276" t="s">
        <v>508</v>
      </c>
      <c r="X157" s="276" t="s">
        <v>786</v>
      </c>
      <c r="Y157" s="421">
        <v>41275</v>
      </c>
      <c r="Z157" s="288" t="s">
        <v>462</v>
      </c>
      <c r="AA157" s="274" t="s">
        <v>776</v>
      </c>
      <c r="AB157" s="290">
        <v>43008</v>
      </c>
      <c r="AC157" s="290"/>
      <c r="AD157" s="291" t="s">
        <v>1354</v>
      </c>
      <c r="AE157" s="276" t="str">
        <f ca="1">IFERROR(OFFSET(DistanceToCamp[Nearest Town],MATCH(CampList[[#This Row],[CP_Pcode]],DistanceToCamp[CP_Pcode],0)-1,0,1,1),"")</f>
        <v>Hpakant Town</v>
      </c>
      <c r="AF157" s="292">
        <f ca="1">IFERROR(OFFSET(DistanceToCamp[distance],MATCH(CampList[[#This Row],[CP_Pcode]],DistanceToCamp[CP_Pcode],0)-1,0,1,1),"")</f>
        <v>6.2085564346706201</v>
      </c>
      <c r="AG157" s="293">
        <f ca="1">IFERROR(INT(CampList[[#This Row],[Distance]]/5)+1,"")</f>
        <v>2</v>
      </c>
      <c r="AI157" s="489"/>
      <c r="AJ157" s="489"/>
    </row>
    <row r="158" spans="2:36" s="203" customFormat="1" ht="15.75" customHeight="1" x14ac:dyDescent="0.25">
      <c r="B158" s="283" t="s">
        <v>460</v>
      </c>
      <c r="C158" s="274" t="s">
        <v>378</v>
      </c>
      <c r="D158" s="274" t="s">
        <v>479</v>
      </c>
      <c r="E158" s="274" t="s">
        <v>180</v>
      </c>
      <c r="F158" s="274" t="s">
        <v>480</v>
      </c>
      <c r="G158" s="274" t="s">
        <v>481</v>
      </c>
      <c r="H158" s="274" t="s">
        <v>482</v>
      </c>
      <c r="I158" s="274" t="s">
        <v>539</v>
      </c>
      <c r="J158" s="274" t="s">
        <v>540</v>
      </c>
      <c r="K158" s="274" t="s">
        <v>541</v>
      </c>
      <c r="L158" s="300">
        <v>166785</v>
      </c>
      <c r="M158" s="274" t="s">
        <v>124</v>
      </c>
      <c r="N158" s="274" t="s">
        <v>123</v>
      </c>
      <c r="O158" s="284">
        <v>96.353030000000004</v>
      </c>
      <c r="P158" s="284">
        <v>25.668399999999998</v>
      </c>
      <c r="Q158" s="285">
        <v>0</v>
      </c>
      <c r="R158" s="414">
        <v>8</v>
      </c>
      <c r="S158" s="414">
        <v>32</v>
      </c>
      <c r="T158" s="287">
        <f>IF(CampList[[#This Row],[HH]]&gt;0,CampList[[#This Row],[Total]]/CampList[[#This Row],[HH]],"NA")</f>
        <v>4</v>
      </c>
      <c r="U158" s="276" t="s">
        <v>465</v>
      </c>
      <c r="V158" s="276" t="s">
        <v>1013</v>
      </c>
      <c r="W158" s="276" t="s">
        <v>508</v>
      </c>
      <c r="X158" s="276" t="s">
        <v>786</v>
      </c>
      <c r="Y158" s="421">
        <v>41275</v>
      </c>
      <c r="Z158" s="288" t="s">
        <v>424</v>
      </c>
      <c r="AA158" s="274" t="s">
        <v>776</v>
      </c>
      <c r="AB158" s="290">
        <v>43008</v>
      </c>
      <c r="AC158" s="290"/>
      <c r="AD158" s="291" t="s">
        <v>1393</v>
      </c>
      <c r="AE158" s="276" t="str">
        <f ca="1">IFERROR(OFFSET(DistanceToCamp[Nearest Town],MATCH(CampList[[#This Row],[CP_Pcode]],DistanceToCamp[CP_Pcode],0)-1,0,1,1),"")</f>
        <v>Hpakant Town</v>
      </c>
      <c r="AF158" s="292">
        <f ca="1">IFERROR(OFFSET(DistanceToCamp[distance],MATCH(CampList[[#This Row],[CP_Pcode]],DistanceToCamp[CP_Pcode],0)-1,0,1,1),"")</f>
        <v>7.419312682373878</v>
      </c>
      <c r="AG158" s="293">
        <f ca="1">IFERROR(INT(CampList[[#This Row],[Distance]]/5)+1,"")</f>
        <v>2</v>
      </c>
      <c r="AI158" s="491">
        <v>123</v>
      </c>
      <c r="AJ158" s="492">
        <v>503</v>
      </c>
    </row>
    <row r="159" spans="2:36" s="203" customFormat="1" ht="15.75" customHeight="1" x14ac:dyDescent="0.25">
      <c r="B159" s="283" t="s">
        <v>460</v>
      </c>
      <c r="C159" s="274" t="s">
        <v>378</v>
      </c>
      <c r="D159" s="274" t="s">
        <v>479</v>
      </c>
      <c r="E159" s="274" t="s">
        <v>180</v>
      </c>
      <c r="F159" s="274" t="s">
        <v>480</v>
      </c>
      <c r="G159" s="274" t="s">
        <v>481</v>
      </c>
      <c r="H159" s="274" t="s">
        <v>482</v>
      </c>
      <c r="I159" s="274" t="s">
        <v>539</v>
      </c>
      <c r="J159" s="274" t="s">
        <v>540</v>
      </c>
      <c r="K159" s="274" t="s">
        <v>543</v>
      </c>
      <c r="L159" s="274">
        <v>166788</v>
      </c>
      <c r="M159" s="274" t="s">
        <v>126</v>
      </c>
      <c r="N159" s="274" t="s">
        <v>125</v>
      </c>
      <c r="O159" s="284">
        <v>96.286680000000004</v>
      </c>
      <c r="P159" s="284">
        <v>25.577559999999998</v>
      </c>
      <c r="Q159" s="285">
        <v>0</v>
      </c>
      <c r="R159" s="414">
        <v>32</v>
      </c>
      <c r="S159" s="653">
        <v>171</v>
      </c>
      <c r="T159" s="287">
        <f>IF(CampList[[#This Row],[HH]]&gt;0,CampList[[#This Row],[Total]]/CampList[[#This Row],[HH]],"NA")</f>
        <v>5.34375</v>
      </c>
      <c r="U159" s="276" t="s">
        <v>465</v>
      </c>
      <c r="V159" s="276" t="s">
        <v>1013</v>
      </c>
      <c r="W159" s="276" t="s">
        <v>508</v>
      </c>
      <c r="X159" s="276" t="s">
        <v>743</v>
      </c>
      <c r="Y159" s="421">
        <v>41275</v>
      </c>
      <c r="Z159" s="288" t="s">
        <v>424</v>
      </c>
      <c r="AA159" s="274" t="s">
        <v>776</v>
      </c>
      <c r="AB159" s="290">
        <v>43008</v>
      </c>
      <c r="AC159" s="290"/>
      <c r="AD159" s="291" t="s">
        <v>1394</v>
      </c>
      <c r="AE159" s="276" t="str">
        <f ca="1">IFERROR(OFFSET(DistanceToCamp[Nearest Town],MATCH(CampList[[#This Row],[CP_Pcode]],DistanceToCamp[CP_Pcode],0)-1,0,1,1),"")</f>
        <v>Hpakant Town</v>
      </c>
      <c r="AF159" s="292">
        <f ca="1">IFERROR(OFFSET(DistanceToCamp[distance],MATCH(CampList[[#This Row],[CP_Pcode]],DistanceToCamp[CP_Pcode],0)-1,0,1,1),"")</f>
        <v>4.6754712546149264</v>
      </c>
      <c r="AG159" s="293">
        <f ca="1">IFERROR(INT(CampList[[#This Row],[Distance]]/5)+1,"")</f>
        <v>1</v>
      </c>
      <c r="AI159" s="489"/>
      <c r="AJ159" s="489"/>
    </row>
    <row r="160" spans="2:36" s="203" customFormat="1" ht="15.75" customHeight="1" x14ac:dyDescent="0.25">
      <c r="B160" s="283" t="s">
        <v>460</v>
      </c>
      <c r="C160" s="274" t="s">
        <v>378</v>
      </c>
      <c r="D160" s="274" t="s">
        <v>479</v>
      </c>
      <c r="E160" s="274" t="s">
        <v>180</v>
      </c>
      <c r="F160" s="274" t="s">
        <v>480</v>
      </c>
      <c r="G160" s="274" t="s">
        <v>481</v>
      </c>
      <c r="H160" s="274" t="s">
        <v>482</v>
      </c>
      <c r="I160" s="291" t="s">
        <v>544</v>
      </c>
      <c r="J160" s="291" t="s">
        <v>545</v>
      </c>
      <c r="K160" s="291" t="s">
        <v>548</v>
      </c>
      <c r="L160" s="291" t="s">
        <v>549</v>
      </c>
      <c r="M160" s="274" t="s">
        <v>43</v>
      </c>
      <c r="N160" s="274" t="s">
        <v>42</v>
      </c>
      <c r="O160" s="284">
        <v>96.317350000000005</v>
      </c>
      <c r="P160" s="284">
        <v>25.616509000000001</v>
      </c>
      <c r="Q160" s="285">
        <v>264</v>
      </c>
      <c r="R160" s="414">
        <v>14</v>
      </c>
      <c r="S160" s="414">
        <v>81</v>
      </c>
      <c r="T160" s="287">
        <f>IF(CampList[[#This Row],[HH]]&gt;0,CampList[[#This Row],[Total]]/CampList[[#This Row],[HH]],"NA")</f>
        <v>5.7857142857142856</v>
      </c>
      <c r="U160" s="276" t="s">
        <v>465</v>
      </c>
      <c r="V160" s="276" t="s">
        <v>1013</v>
      </c>
      <c r="W160" s="276" t="s">
        <v>508</v>
      </c>
      <c r="X160" s="224" t="s">
        <v>743</v>
      </c>
      <c r="Y160" s="421">
        <v>41275</v>
      </c>
      <c r="Z160" s="288" t="s">
        <v>462</v>
      </c>
      <c r="AA160" s="308" t="s">
        <v>776</v>
      </c>
      <c r="AB160" s="290">
        <v>43008</v>
      </c>
      <c r="AC160" s="290"/>
      <c r="AD160" s="283" t="s">
        <v>1351</v>
      </c>
      <c r="AE160" s="276" t="str">
        <f ca="1">IFERROR(OFFSET(DistanceToCamp[Nearest Town],MATCH(CampList[[#This Row],[CP_Pcode]],DistanceToCamp[CP_Pcode],0)-1,0,1,1),"")</f>
        <v>Hpakant Town</v>
      </c>
      <c r="AF160" s="292">
        <f ca="1">IFERROR(OFFSET(DistanceToCamp[distance],MATCH(CampList[[#This Row],[CP_Pcode]],DistanceToCamp[CP_Pcode],0)-1,0,1,1),"")</f>
        <v>0.66733171900141897</v>
      </c>
      <c r="AG160" s="293">
        <f ca="1">IFERROR(INT(CampList[[#This Row],[Distance]]/5)+1,"")</f>
        <v>1</v>
      </c>
      <c r="AI160" s="489"/>
      <c r="AJ160" s="489"/>
    </row>
    <row r="161" spans="2:36" s="203" customFormat="1" ht="15.75" hidden="1" customHeight="1" x14ac:dyDescent="0.25">
      <c r="B161" s="283" t="s">
        <v>777</v>
      </c>
      <c r="C161" s="274" t="s">
        <v>378</v>
      </c>
      <c r="D161" s="274" t="s">
        <v>479</v>
      </c>
      <c r="E161" s="274" t="s">
        <v>180</v>
      </c>
      <c r="F161" s="274" t="s">
        <v>480</v>
      </c>
      <c r="G161" s="274" t="s">
        <v>481</v>
      </c>
      <c r="H161" s="274" t="s">
        <v>482</v>
      </c>
      <c r="I161" s="291" t="s">
        <v>544</v>
      </c>
      <c r="J161" s="291" t="s">
        <v>545</v>
      </c>
      <c r="K161" s="291" t="s">
        <v>548</v>
      </c>
      <c r="L161" s="291" t="s">
        <v>549</v>
      </c>
      <c r="M161" s="274" t="s">
        <v>68</v>
      </c>
      <c r="N161" s="274" t="s">
        <v>67</v>
      </c>
      <c r="O161" s="284"/>
      <c r="P161" s="284"/>
      <c r="Q161" s="302"/>
      <c r="R161" s="376">
        <v>0</v>
      </c>
      <c r="S161" s="377">
        <v>0</v>
      </c>
      <c r="T161" s="287" t="str">
        <f>IF(CampList[[#This Row],[HH]]&gt;0,CampList[[#This Row],[Total]]/CampList[[#This Row],[HH]],"NA")</f>
        <v>NA</v>
      </c>
      <c r="U161" s="276" t="s">
        <v>465</v>
      </c>
      <c r="V161" s="294" t="s">
        <v>1013</v>
      </c>
      <c r="W161" s="276" t="s">
        <v>508</v>
      </c>
      <c r="X161" s="294"/>
      <c r="Y161" s="310"/>
      <c r="Z161" s="311"/>
      <c r="AA161" s="308"/>
      <c r="AB161" s="314"/>
      <c r="AC161" s="314"/>
      <c r="AD161" s="283" t="s">
        <v>542</v>
      </c>
      <c r="AE161" s="276" t="str">
        <f ca="1">IFERROR(OFFSET(DistanceToCamp[Nearest Town],MATCH(CampList[[#This Row],[CP_Pcode]],DistanceToCamp[CP_Pcode],0)-1,0,1,1),"")</f>
        <v/>
      </c>
      <c r="AF161" s="292" t="str">
        <f ca="1">IFERROR(OFFSET(DistanceToCamp[distance],MATCH(CampList[[#This Row],[CP_Pcode]],DistanceToCamp[CP_Pcode],0)-1,0,1,1),"")</f>
        <v/>
      </c>
      <c r="AG161" s="293" t="str">
        <f ca="1">IFERROR(INT(CampList[[#This Row],[Distance]]/5)+1,"")</f>
        <v/>
      </c>
      <c r="AI161" s="489"/>
      <c r="AJ161" s="489"/>
    </row>
    <row r="162" spans="2:36" s="203" customFormat="1" ht="15.75" hidden="1" customHeight="1" x14ac:dyDescent="0.25">
      <c r="B162" s="283" t="s">
        <v>777</v>
      </c>
      <c r="C162" s="274" t="s">
        <v>378</v>
      </c>
      <c r="D162" s="274" t="s">
        <v>479</v>
      </c>
      <c r="E162" s="274" t="s">
        <v>180</v>
      </c>
      <c r="F162" s="274" t="s">
        <v>480</v>
      </c>
      <c r="G162" s="274" t="s">
        <v>481</v>
      </c>
      <c r="H162" s="274" t="s">
        <v>482</v>
      </c>
      <c r="I162" s="291" t="s">
        <v>544</v>
      </c>
      <c r="J162" s="291" t="s">
        <v>545</v>
      </c>
      <c r="K162" s="291" t="s">
        <v>548</v>
      </c>
      <c r="L162" s="291" t="s">
        <v>549</v>
      </c>
      <c r="M162" s="274" t="s">
        <v>84</v>
      </c>
      <c r="N162" s="274" t="s">
        <v>83</v>
      </c>
      <c r="O162" s="284">
        <v>96.316210999999996</v>
      </c>
      <c r="P162" s="284">
        <v>25.619221</v>
      </c>
      <c r="Q162" s="302"/>
      <c r="R162" s="376">
        <v>0</v>
      </c>
      <c r="S162" s="377">
        <v>0</v>
      </c>
      <c r="T162" s="287" t="str">
        <f>IF(CampList[[#This Row],[HH]]&gt;0,CampList[[#This Row],[Total]]/CampList[[#This Row],[HH]],"NA")</f>
        <v>NA</v>
      </c>
      <c r="U162" s="276" t="s">
        <v>465</v>
      </c>
      <c r="V162" s="294" t="s">
        <v>1013</v>
      </c>
      <c r="W162" s="276" t="s">
        <v>508</v>
      </c>
      <c r="X162" s="294"/>
      <c r="Y162" s="310"/>
      <c r="Z162" s="311"/>
      <c r="AA162" s="308"/>
      <c r="AB162" s="314"/>
      <c r="AC162" s="314"/>
      <c r="AD162" s="283" t="s">
        <v>542</v>
      </c>
      <c r="AE162" s="276" t="str">
        <f ca="1">IFERROR(OFFSET(DistanceToCamp[Nearest Town],MATCH(CampList[[#This Row],[CP_Pcode]],DistanceToCamp[CP_Pcode],0)-1,0,1,1),"")</f>
        <v/>
      </c>
      <c r="AF162" s="292" t="str">
        <f ca="1">IFERROR(OFFSET(DistanceToCamp[distance],MATCH(CampList[[#This Row],[CP_Pcode]],DistanceToCamp[CP_Pcode],0)-1,0,1,1),"")</f>
        <v/>
      </c>
      <c r="AG162" s="293" t="str">
        <f ca="1">IFERROR(INT(CampList[[#This Row],[Distance]]/5)+1,"")</f>
        <v/>
      </c>
      <c r="AI162" s="489"/>
      <c r="AJ162" s="489"/>
    </row>
    <row r="163" spans="2:36" s="203" customFormat="1" ht="15.75" hidden="1" customHeight="1" x14ac:dyDescent="0.25">
      <c r="B163" s="283" t="s">
        <v>777</v>
      </c>
      <c r="C163" s="274" t="s">
        <v>378</v>
      </c>
      <c r="D163" s="274" t="s">
        <v>479</v>
      </c>
      <c r="E163" s="274" t="s">
        <v>180</v>
      </c>
      <c r="F163" s="274" t="s">
        <v>480</v>
      </c>
      <c r="G163" s="274" t="s">
        <v>481</v>
      </c>
      <c r="H163" s="274" t="s">
        <v>482</v>
      </c>
      <c r="I163" s="291" t="s">
        <v>544</v>
      </c>
      <c r="J163" s="291" t="s">
        <v>545</v>
      </c>
      <c r="K163" s="291" t="s">
        <v>548</v>
      </c>
      <c r="L163" s="291" t="s">
        <v>549</v>
      </c>
      <c r="M163" s="274" t="s">
        <v>86</v>
      </c>
      <c r="N163" s="274" t="s">
        <v>85</v>
      </c>
      <c r="O163" s="284"/>
      <c r="P163" s="284"/>
      <c r="Q163" s="302"/>
      <c r="R163" s="376">
        <v>0</v>
      </c>
      <c r="S163" s="377">
        <v>0</v>
      </c>
      <c r="T163" s="287" t="str">
        <f>IF(CampList[[#This Row],[HH]]&gt;0,CampList[[#This Row],[Total]]/CampList[[#This Row],[HH]],"NA")</f>
        <v>NA</v>
      </c>
      <c r="U163" s="276" t="s">
        <v>465</v>
      </c>
      <c r="V163" s="294" t="s">
        <v>1013</v>
      </c>
      <c r="W163" s="276" t="s">
        <v>508</v>
      </c>
      <c r="X163" s="294"/>
      <c r="Y163" s="310"/>
      <c r="Z163" s="311"/>
      <c r="AA163" s="308"/>
      <c r="AB163" s="314"/>
      <c r="AC163" s="314"/>
      <c r="AD163" s="283" t="s">
        <v>542</v>
      </c>
      <c r="AE163" s="276" t="str">
        <f ca="1">IFERROR(OFFSET(DistanceToCamp[Nearest Town],MATCH(CampList[[#This Row],[CP_Pcode]],DistanceToCamp[CP_Pcode],0)-1,0,1,1),"")</f>
        <v/>
      </c>
      <c r="AF163" s="292" t="str">
        <f ca="1">IFERROR(OFFSET(DistanceToCamp[distance],MATCH(CampList[[#This Row],[CP_Pcode]],DistanceToCamp[CP_Pcode],0)-1,0,1,1),"")</f>
        <v/>
      </c>
      <c r="AG163" s="293" t="str">
        <f ca="1">IFERROR(INT(CampList[[#This Row],[Distance]]/5)+1,"")</f>
        <v/>
      </c>
      <c r="AI163" s="489"/>
      <c r="AJ163" s="489"/>
    </row>
    <row r="164" spans="2:36" s="203" customFormat="1" ht="15.75" hidden="1" customHeight="1" x14ac:dyDescent="0.25">
      <c r="B164" s="283" t="s">
        <v>777</v>
      </c>
      <c r="C164" s="274" t="s">
        <v>378</v>
      </c>
      <c r="D164" s="274" t="s">
        <v>479</v>
      </c>
      <c r="E164" s="274" t="s">
        <v>180</v>
      </c>
      <c r="F164" s="274" t="s">
        <v>480</v>
      </c>
      <c r="G164" s="274" t="s">
        <v>481</v>
      </c>
      <c r="H164" s="274" t="s">
        <v>482</v>
      </c>
      <c r="I164" s="291" t="s">
        <v>544</v>
      </c>
      <c r="J164" s="291" t="s">
        <v>545</v>
      </c>
      <c r="K164" s="291" t="s">
        <v>548</v>
      </c>
      <c r="L164" s="291" t="s">
        <v>549</v>
      </c>
      <c r="M164" s="274" t="s">
        <v>104</v>
      </c>
      <c r="N164" s="274" t="s">
        <v>103</v>
      </c>
      <c r="O164" s="284"/>
      <c r="P164" s="284"/>
      <c r="Q164" s="302"/>
      <c r="R164" s="376">
        <v>0</v>
      </c>
      <c r="S164" s="377">
        <v>0</v>
      </c>
      <c r="T164" s="287" t="str">
        <f>IF(CampList[[#This Row],[HH]]&gt;0,CampList[[#This Row],[Total]]/CampList[[#This Row],[HH]],"NA")</f>
        <v>NA</v>
      </c>
      <c r="U164" s="276" t="s">
        <v>465</v>
      </c>
      <c r="V164" s="294" t="s">
        <v>1013</v>
      </c>
      <c r="W164" s="276" t="s">
        <v>508</v>
      </c>
      <c r="X164" s="294"/>
      <c r="Y164" s="310"/>
      <c r="Z164" s="311"/>
      <c r="AA164" s="308"/>
      <c r="AB164" s="314"/>
      <c r="AC164" s="314"/>
      <c r="AD164" s="283" t="s">
        <v>542</v>
      </c>
      <c r="AE164" s="276" t="str">
        <f ca="1">IFERROR(OFFSET(DistanceToCamp[Nearest Town],MATCH(CampList[[#This Row],[CP_Pcode]],DistanceToCamp[CP_Pcode],0)-1,0,1,1),"")</f>
        <v/>
      </c>
      <c r="AF164" s="292" t="str">
        <f ca="1">IFERROR(OFFSET(DistanceToCamp[distance],MATCH(CampList[[#This Row],[CP_Pcode]],DistanceToCamp[CP_Pcode],0)-1,0,1,1),"")</f>
        <v/>
      </c>
      <c r="AG164" s="293" t="str">
        <f ca="1">IFERROR(INT(CampList[[#This Row],[Distance]]/5)+1,"")</f>
        <v/>
      </c>
      <c r="AI164" s="489"/>
      <c r="AJ164" s="489"/>
    </row>
    <row r="165" spans="2:36" s="203" customFormat="1" ht="15.75" customHeight="1" x14ac:dyDescent="0.25">
      <c r="B165" s="283" t="s">
        <v>460</v>
      </c>
      <c r="C165" s="274" t="s">
        <v>378</v>
      </c>
      <c r="D165" s="274" t="s">
        <v>479</v>
      </c>
      <c r="E165" s="274" t="s">
        <v>180</v>
      </c>
      <c r="F165" s="274" t="s">
        <v>480</v>
      </c>
      <c r="G165" s="274" t="s">
        <v>481</v>
      </c>
      <c r="H165" s="274" t="s">
        <v>482</v>
      </c>
      <c r="I165" s="291" t="s">
        <v>544</v>
      </c>
      <c r="J165" s="291" t="s">
        <v>545</v>
      </c>
      <c r="K165" s="291" t="s">
        <v>548</v>
      </c>
      <c r="L165" s="291" t="s">
        <v>549</v>
      </c>
      <c r="M165" s="274" t="s">
        <v>44</v>
      </c>
      <c r="N165" s="274" t="s">
        <v>45</v>
      </c>
      <c r="O165" s="284">
        <v>96.316564</v>
      </c>
      <c r="P165" s="284">
        <v>25.615960999999999</v>
      </c>
      <c r="Q165" s="285">
        <v>281</v>
      </c>
      <c r="R165" s="414">
        <v>4</v>
      </c>
      <c r="S165" s="653">
        <v>27</v>
      </c>
      <c r="T165" s="287">
        <f>IF(CampList[[#This Row],[HH]]&gt;0,CampList[[#This Row],[Total]]/CampList[[#This Row],[HH]],"NA")</f>
        <v>6.75</v>
      </c>
      <c r="U165" s="276" t="s">
        <v>465</v>
      </c>
      <c r="V165" s="276" t="s">
        <v>1013</v>
      </c>
      <c r="W165" s="276" t="s">
        <v>508</v>
      </c>
      <c r="X165" s="276" t="s">
        <v>743</v>
      </c>
      <c r="Y165" s="421">
        <v>41122</v>
      </c>
      <c r="Z165" s="288" t="s">
        <v>462</v>
      </c>
      <c r="AA165" s="308" t="s">
        <v>776</v>
      </c>
      <c r="AB165" s="290">
        <v>43008</v>
      </c>
      <c r="AC165" s="290"/>
      <c r="AD165" s="283" t="s">
        <v>1355</v>
      </c>
      <c r="AE165" s="276" t="str">
        <f ca="1">IFERROR(OFFSET(DistanceToCamp[Nearest Town],MATCH(CampList[[#This Row],[CP_Pcode]],DistanceToCamp[CP_Pcode],0)-1,0,1,1),"")</f>
        <v>Hpakant Town</v>
      </c>
      <c r="AF165" s="292">
        <f ca="1">IFERROR(OFFSET(DistanceToCamp[distance],MATCH(CampList[[#This Row],[CP_Pcode]],DistanceToCamp[CP_Pcode],0)-1,0,1,1),"")</f>
        <v>0.56771790814545575</v>
      </c>
      <c r="AG165" s="293">
        <f ca="1">IFERROR(INT(CampList[[#This Row],[Distance]]/5)+1,"")</f>
        <v>1</v>
      </c>
      <c r="AI165" s="489"/>
      <c r="AJ165" s="489"/>
    </row>
    <row r="166" spans="2:36" s="203" customFormat="1" ht="15.75" customHeight="1" x14ac:dyDescent="0.25">
      <c r="B166" s="283" t="s">
        <v>460</v>
      </c>
      <c r="C166" s="274" t="s">
        <v>378</v>
      </c>
      <c r="D166" s="274" t="s">
        <v>479</v>
      </c>
      <c r="E166" s="274" t="s">
        <v>180</v>
      </c>
      <c r="F166" s="274" t="s">
        <v>480</v>
      </c>
      <c r="G166" s="274" t="s">
        <v>481</v>
      </c>
      <c r="H166" s="274" t="s">
        <v>482</v>
      </c>
      <c r="I166" s="291" t="s">
        <v>550</v>
      </c>
      <c r="J166" s="291" t="s">
        <v>551</v>
      </c>
      <c r="K166" s="291" t="s">
        <v>550</v>
      </c>
      <c r="L166" s="291">
        <v>166776</v>
      </c>
      <c r="M166" s="274" t="s">
        <v>552</v>
      </c>
      <c r="N166" s="274" t="s">
        <v>46</v>
      </c>
      <c r="O166" s="284">
        <v>96.339590000000001</v>
      </c>
      <c r="P166" s="284">
        <v>25.617998</v>
      </c>
      <c r="Q166" s="302"/>
      <c r="R166" s="414">
        <v>11</v>
      </c>
      <c r="S166" s="654">
        <v>45</v>
      </c>
      <c r="T166" s="287">
        <f>IF(CampList[[#This Row],[HH]]&gt;0,CampList[[#This Row],[Total]]/CampList[[#This Row],[HH]],"NA")</f>
        <v>4.0909090909090908</v>
      </c>
      <c r="U166" s="276" t="s">
        <v>465</v>
      </c>
      <c r="V166" s="276" t="s">
        <v>1013</v>
      </c>
      <c r="W166" s="276" t="s">
        <v>508</v>
      </c>
      <c r="X166" s="276" t="s">
        <v>743</v>
      </c>
      <c r="Y166" s="421">
        <v>41275</v>
      </c>
      <c r="Z166" s="288" t="s">
        <v>462</v>
      </c>
      <c r="AA166" s="308" t="s">
        <v>776</v>
      </c>
      <c r="AB166" s="290">
        <v>43008</v>
      </c>
      <c r="AC166" s="290"/>
      <c r="AD166" s="283" t="s">
        <v>1356</v>
      </c>
      <c r="AE166" s="276" t="str">
        <f ca="1">IFERROR(OFFSET(DistanceToCamp[Nearest Town],MATCH(CampList[[#This Row],[CP_Pcode]],DistanceToCamp[CP_Pcode],0)-1,0,1,1),"")</f>
        <v>Hpakant Town</v>
      </c>
      <c r="AF166" s="292">
        <f ca="1">IFERROR(OFFSET(DistanceToCamp[distance],MATCH(CampList[[#This Row],[CP_Pcode]],DistanceToCamp[CP_Pcode],0)-1,0,1,1),"")</f>
        <v>2.814225084976667</v>
      </c>
      <c r="AG166" s="293">
        <f ca="1">IFERROR(INT(CampList[[#This Row],[Distance]]/5)+1,"")</f>
        <v>1</v>
      </c>
      <c r="AI166" s="489"/>
      <c r="AJ166" s="489"/>
    </row>
    <row r="167" spans="2:36" s="203" customFormat="1" ht="15.75" customHeight="1" x14ac:dyDescent="0.25">
      <c r="B167" s="283" t="s">
        <v>460</v>
      </c>
      <c r="C167" s="274" t="s">
        <v>378</v>
      </c>
      <c r="D167" s="274" t="s">
        <v>479</v>
      </c>
      <c r="E167" s="274" t="s">
        <v>5</v>
      </c>
      <c r="F167" s="274" t="s">
        <v>483</v>
      </c>
      <c r="G167" s="274" t="s">
        <v>5</v>
      </c>
      <c r="H167" s="274" t="s">
        <v>484</v>
      </c>
      <c r="I167" s="274" t="s">
        <v>586</v>
      </c>
      <c r="J167" s="274" t="s">
        <v>587</v>
      </c>
      <c r="K167" s="274" t="s">
        <v>588</v>
      </c>
      <c r="L167" s="274">
        <v>166854</v>
      </c>
      <c r="M167" s="274" t="s">
        <v>364</v>
      </c>
      <c r="N167" s="274" t="s">
        <v>374</v>
      </c>
      <c r="O167" s="284">
        <v>97.252650000000003</v>
      </c>
      <c r="P167" s="284">
        <v>24.222349999999999</v>
      </c>
      <c r="Q167" s="285">
        <v>0</v>
      </c>
      <c r="R167" s="654">
        <v>144</v>
      </c>
      <c r="S167" s="654">
        <v>754</v>
      </c>
      <c r="T167" s="287">
        <f>IF(CampList[[#This Row],[HH]]&gt;0,CampList[[#This Row],[Total]]/CampList[[#This Row],[HH]],"NA")</f>
        <v>5.2361111111111107</v>
      </c>
      <c r="U167" s="276" t="s">
        <v>465</v>
      </c>
      <c r="V167" s="276" t="s">
        <v>1013</v>
      </c>
      <c r="W167" s="276" t="s">
        <v>508</v>
      </c>
      <c r="X167" s="276" t="s">
        <v>743</v>
      </c>
      <c r="Y167" s="421">
        <v>41275</v>
      </c>
      <c r="Z167" s="288" t="s">
        <v>424</v>
      </c>
      <c r="AA167" s="274" t="s">
        <v>776</v>
      </c>
      <c r="AB167" s="290">
        <v>43008</v>
      </c>
      <c r="AC167" s="290"/>
      <c r="AD167" s="291" t="s">
        <v>1380</v>
      </c>
      <c r="AE167" s="276" t="str">
        <f ca="1">IFERROR(OFFSET(DistanceToCamp[Nearest Town],MATCH(CampList[[#This Row],[CP_Pcode]],DistanceToCamp[CP_Pcode],0)-1,0,1,1),"")</f>
        <v>Bhamo Town</v>
      </c>
      <c r="AF167" s="292">
        <f ca="1">IFERROR(OFFSET(DistanceToCamp[distance],MATCH(CampList[[#This Row],[CP_Pcode]],DistanceToCamp[CP_Pcode],0)-1,0,1,1),"")</f>
        <v>4.067486452659054</v>
      </c>
      <c r="AG167" s="293">
        <f ca="1">IFERROR(INT(CampList[[#This Row],[Distance]]/5)+1,"")</f>
        <v>1</v>
      </c>
      <c r="AI167" s="489"/>
      <c r="AJ167" s="489"/>
    </row>
    <row r="168" spans="2:36" s="203" customFormat="1" ht="15.75" customHeight="1" x14ac:dyDescent="0.25">
      <c r="B168" s="283" t="s">
        <v>460</v>
      </c>
      <c r="C168" s="274" t="s">
        <v>378</v>
      </c>
      <c r="D168" s="274" t="s">
        <v>479</v>
      </c>
      <c r="E168" s="274" t="s">
        <v>5</v>
      </c>
      <c r="F168" s="274" t="s">
        <v>483</v>
      </c>
      <c r="G168" s="274" t="s">
        <v>5</v>
      </c>
      <c r="H168" s="274" t="s">
        <v>484</v>
      </c>
      <c r="I168" s="291" t="s">
        <v>1120</v>
      </c>
      <c r="J168" s="291" t="s">
        <v>1119</v>
      </c>
      <c r="K168" s="291" t="s">
        <v>1120</v>
      </c>
      <c r="L168" s="307">
        <v>166904</v>
      </c>
      <c r="M168" s="274" t="s">
        <v>466</v>
      </c>
      <c r="N168" s="274" t="s">
        <v>375</v>
      </c>
      <c r="O168" s="284">
        <v>97.252650000000003</v>
      </c>
      <c r="P168" s="284">
        <v>24.260466999999998</v>
      </c>
      <c r="Q168" s="285">
        <v>0</v>
      </c>
      <c r="R168" s="414">
        <v>12</v>
      </c>
      <c r="S168" s="414">
        <v>53</v>
      </c>
      <c r="T168" s="287">
        <f>IF(CampList[[#This Row],[HH]]&gt;0,CampList[[#This Row],[Total]]/CampList[[#This Row],[HH]],"NA")</f>
        <v>4.416666666666667</v>
      </c>
      <c r="U168" s="276" t="s">
        <v>465</v>
      </c>
      <c r="V168" s="276" t="s">
        <v>1013</v>
      </c>
      <c r="W168" s="276" t="s">
        <v>508</v>
      </c>
      <c r="X168" s="276" t="s">
        <v>743</v>
      </c>
      <c r="Y168" s="421">
        <v>40787</v>
      </c>
      <c r="Z168" s="288" t="s">
        <v>424</v>
      </c>
      <c r="AA168" s="308" t="s">
        <v>776</v>
      </c>
      <c r="AB168" s="290">
        <v>43008</v>
      </c>
      <c r="AC168" s="290"/>
      <c r="AD168" s="283" t="s">
        <v>1377</v>
      </c>
      <c r="AE168" s="276" t="str">
        <f ca="1">IFERROR(OFFSET(DistanceToCamp[Nearest Town],MATCH(CampList[[#This Row],[CP_Pcode]],DistanceToCamp[CP_Pcode],0)-1,0,1,1),"")</f>
        <v>Bhamo Town</v>
      </c>
      <c r="AF168" s="292">
        <f ca="1">IFERROR(OFFSET(DistanceToCamp[distance],MATCH(CampList[[#This Row],[CP_Pcode]],DistanceToCamp[CP_Pcode],0)-1,0,1,1),"")</f>
        <v>1.9489261822960435</v>
      </c>
      <c r="AG168" s="293">
        <f ca="1">IFERROR(INT(CampList[[#This Row],[Distance]]/5)+1,"")</f>
        <v>1</v>
      </c>
      <c r="AI168" s="489"/>
      <c r="AJ168" s="489"/>
    </row>
    <row r="169" spans="2:36" s="400" customFormat="1" ht="15.75" hidden="1" customHeight="1" x14ac:dyDescent="0.25">
      <c r="B169" s="283" t="s">
        <v>777</v>
      </c>
      <c r="C169" s="274" t="s">
        <v>378</v>
      </c>
      <c r="D169" s="274" t="s">
        <v>479</v>
      </c>
      <c r="E169" s="274" t="s">
        <v>180</v>
      </c>
      <c r="F169" s="274" t="s">
        <v>480</v>
      </c>
      <c r="G169" s="274" t="s">
        <v>481</v>
      </c>
      <c r="H169" s="274" t="s">
        <v>482</v>
      </c>
      <c r="I169" s="291" t="s">
        <v>553</v>
      </c>
      <c r="J169" s="291" t="s">
        <v>554</v>
      </c>
      <c r="K169" s="291" t="s">
        <v>553</v>
      </c>
      <c r="L169" s="291">
        <v>166773</v>
      </c>
      <c r="M169" s="274" t="s">
        <v>98</v>
      </c>
      <c r="N169" s="274" t="s">
        <v>97</v>
      </c>
      <c r="O169" s="284">
        <v>96.359309999999994</v>
      </c>
      <c r="P169" s="284">
        <v>25.651440000000001</v>
      </c>
      <c r="Q169" s="302"/>
      <c r="R169" s="376">
        <v>0</v>
      </c>
      <c r="S169" s="377">
        <v>0</v>
      </c>
      <c r="T169" s="287" t="str">
        <f>IF(CampList[[#This Row],[HH]]&gt;0,CampList[[#This Row],[Total]]/CampList[[#This Row],[HH]],"NA")</f>
        <v>NA</v>
      </c>
      <c r="U169" s="276" t="s">
        <v>465</v>
      </c>
      <c r="V169" s="294" t="s">
        <v>1013</v>
      </c>
      <c r="W169" s="276" t="s">
        <v>508</v>
      </c>
      <c r="X169" s="294"/>
      <c r="Y169" s="310"/>
      <c r="Z169" s="311"/>
      <c r="AA169" s="308"/>
      <c r="AB169" s="314"/>
      <c r="AC169" s="314"/>
      <c r="AD169" s="283" t="s">
        <v>542</v>
      </c>
      <c r="AE169" s="276" t="str">
        <f ca="1">IFERROR(OFFSET(DistanceToCamp[Nearest Town],MATCH(CampList[[#This Row],[CP_Pcode]],DistanceToCamp[CP_Pcode],0)-1,0,1,1),"")</f>
        <v/>
      </c>
      <c r="AF169" s="292" t="str">
        <f ca="1">IFERROR(OFFSET(DistanceToCamp[distance],MATCH(CampList[[#This Row],[CP_Pcode]],DistanceToCamp[CP_Pcode],0)-1,0,1,1),"")</f>
        <v/>
      </c>
      <c r="AG169" s="293" t="str">
        <f ca="1">IFERROR(INT(CampList[[#This Row],[Distance]]/5)+1,"")</f>
        <v/>
      </c>
      <c r="AI169" s="493"/>
      <c r="AJ169" s="493"/>
    </row>
    <row r="170" spans="2:36" s="203" customFormat="1" ht="15.75" customHeight="1" x14ac:dyDescent="0.25">
      <c r="B170" s="283" t="s">
        <v>460</v>
      </c>
      <c r="C170" s="274" t="s">
        <v>378</v>
      </c>
      <c r="D170" s="274" t="s">
        <v>479</v>
      </c>
      <c r="E170" s="274" t="s">
        <v>237</v>
      </c>
      <c r="F170" s="274" t="s">
        <v>485</v>
      </c>
      <c r="G170" s="274" t="s">
        <v>27</v>
      </c>
      <c r="H170" s="274" t="s">
        <v>488</v>
      </c>
      <c r="I170" s="309" t="s">
        <v>743</v>
      </c>
      <c r="J170" s="274" t="s">
        <v>733</v>
      </c>
      <c r="K170" s="309" t="s">
        <v>744</v>
      </c>
      <c r="L170" s="309"/>
      <c r="M170" s="274" t="s">
        <v>363</v>
      </c>
      <c r="N170" s="274" t="s">
        <v>376</v>
      </c>
      <c r="O170" s="284">
        <v>98.129990000000006</v>
      </c>
      <c r="P170" s="284">
        <v>25.887339999999998</v>
      </c>
      <c r="Q170" s="302">
        <v>259.10000000000002</v>
      </c>
      <c r="R170" s="414">
        <v>144</v>
      </c>
      <c r="S170" s="654">
        <v>630</v>
      </c>
      <c r="T170" s="287">
        <f>IF(CampList[[#This Row],[HH]]&gt;0,CampList[[#This Row],[Total]]/CampList[[#This Row],[HH]],"NA")</f>
        <v>4.375</v>
      </c>
      <c r="U170" s="276" t="s">
        <v>465</v>
      </c>
      <c r="V170" s="276" t="s">
        <v>1013</v>
      </c>
      <c r="W170" s="276" t="s">
        <v>508</v>
      </c>
      <c r="X170" s="276" t="s">
        <v>786</v>
      </c>
      <c r="Y170" s="421">
        <v>40940</v>
      </c>
      <c r="Z170" s="288" t="s">
        <v>462</v>
      </c>
      <c r="AA170" s="308" t="s">
        <v>776</v>
      </c>
      <c r="AB170" s="290">
        <v>43008</v>
      </c>
      <c r="AC170" s="290"/>
      <c r="AD170" s="283" t="s">
        <v>1357</v>
      </c>
      <c r="AE170" s="276" t="str">
        <f ca="1">IFERROR(OFFSET(DistanceToCamp[Nearest Town],MATCH(CampList[[#This Row],[CP_Pcode]],DistanceToCamp[CP_Pcode],0)-1,0,1,1),"")</f>
        <v>Chipwi Town</v>
      </c>
      <c r="AF170" s="292">
        <f ca="1">IFERROR(OFFSET(DistanceToCamp[distance],MATCH(CampList[[#This Row],[CP_Pcode]],DistanceToCamp[CP_Pcode],0)-1,0,1,1),"")</f>
        <v>0</v>
      </c>
      <c r="AG170" s="293">
        <f ca="1">IFERROR(INT(CampList[[#This Row],[Distance]]/5)+1,"")</f>
        <v>1</v>
      </c>
      <c r="AI170" s="489"/>
      <c r="AJ170" s="489"/>
    </row>
    <row r="171" spans="2:36" s="203" customFormat="1" ht="15.75" customHeight="1" x14ac:dyDescent="0.25">
      <c r="B171" s="283" t="s">
        <v>460</v>
      </c>
      <c r="C171" s="274" t="s">
        <v>378</v>
      </c>
      <c r="D171" s="274" t="s">
        <v>479</v>
      </c>
      <c r="E171" s="274" t="s">
        <v>5</v>
      </c>
      <c r="F171" s="274" t="s">
        <v>483</v>
      </c>
      <c r="G171" s="274" t="s">
        <v>151</v>
      </c>
      <c r="H171" s="274" t="s">
        <v>493</v>
      </c>
      <c r="I171" s="291" t="s">
        <v>591</v>
      </c>
      <c r="J171" s="291" t="s">
        <v>592</v>
      </c>
      <c r="K171" s="274"/>
      <c r="L171" s="274"/>
      <c r="M171" s="274" t="s">
        <v>12</v>
      </c>
      <c r="N171" s="274" t="s">
        <v>388</v>
      </c>
      <c r="O171" s="284">
        <v>97.298055000000005</v>
      </c>
      <c r="P171" s="284">
        <v>24.118618999999999</v>
      </c>
      <c r="Q171" s="302"/>
      <c r="R171" s="415">
        <v>73</v>
      </c>
      <c r="S171" s="416">
        <v>274</v>
      </c>
      <c r="T171" s="287">
        <f>IF(CampList[[#This Row],[HH]]&gt;0,CampList[[#This Row],[Total]]/CampList[[#This Row],[HH]],"NA")</f>
        <v>3.7534246575342465</v>
      </c>
      <c r="U171" s="276" t="s">
        <v>465</v>
      </c>
      <c r="V171" s="276" t="s">
        <v>1013</v>
      </c>
      <c r="W171" s="315" t="s">
        <v>12</v>
      </c>
      <c r="X171" s="276" t="s">
        <v>743</v>
      </c>
      <c r="Y171" s="422"/>
      <c r="Z171" s="289"/>
      <c r="AA171" s="308" t="s">
        <v>776</v>
      </c>
      <c r="AB171" s="318">
        <v>42832</v>
      </c>
      <c r="AC171" s="318"/>
      <c r="AD171" s="283" t="s">
        <v>1579</v>
      </c>
      <c r="AE171" s="276" t="str">
        <f ca="1">IFERROR(OFFSET(DistanceToCamp[Nearest Town],MATCH(CampList[[#This Row],[CP_Pcode]],DistanceToCamp[CP_Pcode],0)-1,0,1,1),"")</f>
        <v>Mansi Town</v>
      </c>
      <c r="AF171" s="292">
        <f ca="1">IFERROR(OFFSET(DistanceToCamp[distance],MATCH(CampList[[#This Row],[CP_Pcode]],DistanceToCamp[CP_Pcode],0)-1,0,1,1),"")</f>
        <v>0.51447052329458698</v>
      </c>
      <c r="AG171" s="293">
        <f ca="1">IFERROR(INT(CampList[[#This Row],[Distance]]/5)+1,"")</f>
        <v>1</v>
      </c>
      <c r="AI171" s="489"/>
      <c r="AJ171" s="489"/>
    </row>
    <row r="172" spans="2:36" s="203" customFormat="1" ht="15.75" customHeight="1" x14ac:dyDescent="0.25">
      <c r="B172" s="283" t="s">
        <v>460</v>
      </c>
      <c r="C172" s="274" t="s">
        <v>378</v>
      </c>
      <c r="D172" s="274" t="s">
        <v>479</v>
      </c>
      <c r="E172" s="274" t="s">
        <v>5</v>
      </c>
      <c r="F172" s="274" t="s">
        <v>483</v>
      </c>
      <c r="G172" s="274" t="s">
        <v>185</v>
      </c>
      <c r="H172" s="274" t="s">
        <v>487</v>
      </c>
      <c r="I172" s="274" t="s">
        <v>603</v>
      </c>
      <c r="J172" s="274" t="s">
        <v>604</v>
      </c>
      <c r="K172" s="274"/>
      <c r="L172" s="274"/>
      <c r="M172" s="274" t="s">
        <v>12</v>
      </c>
      <c r="N172" s="274" t="s">
        <v>389</v>
      </c>
      <c r="O172" s="284">
        <v>97.348405</v>
      </c>
      <c r="P172" s="284">
        <v>24.251232000000002</v>
      </c>
      <c r="Q172" s="302"/>
      <c r="R172" s="415">
        <v>226</v>
      </c>
      <c r="S172" s="416">
        <v>1048</v>
      </c>
      <c r="T172" s="287">
        <f>IF(CampList[[#This Row],[HH]]&gt;0,CampList[[#This Row],[Total]]/CampList[[#This Row],[HH]],"NA")</f>
        <v>4.6371681415929205</v>
      </c>
      <c r="U172" s="276" t="s">
        <v>465</v>
      </c>
      <c r="V172" s="276" t="s">
        <v>1013</v>
      </c>
      <c r="W172" s="315" t="s">
        <v>12</v>
      </c>
      <c r="X172" s="276" t="s">
        <v>743</v>
      </c>
      <c r="Y172" s="422"/>
      <c r="Z172" s="289"/>
      <c r="AA172" s="308" t="s">
        <v>775</v>
      </c>
      <c r="AB172" s="318">
        <v>42832</v>
      </c>
      <c r="AC172" s="318"/>
      <c r="AD172" s="283" t="s">
        <v>1580</v>
      </c>
      <c r="AE172" s="276" t="str">
        <f ca="1">IFERROR(OFFSET(DistanceToCamp[Nearest Town],MATCH(CampList[[#This Row],[CP_Pcode]],DistanceToCamp[CP_Pcode],0)-1,0,1,1),"")</f>
        <v>Momauk Town</v>
      </c>
      <c r="AF172" s="292">
        <f ca="1">IFERROR(OFFSET(DistanceToCamp[distance],MATCH(CampList[[#This Row],[CP_Pcode]],DistanceToCamp[CP_Pcode],0)-1,0,1,1),"")</f>
        <v>0.60629049139006752</v>
      </c>
      <c r="AG172" s="293">
        <f ca="1">IFERROR(INT(CampList[[#This Row],[Distance]]/5)+1,"")</f>
        <v>1</v>
      </c>
      <c r="AI172" s="489"/>
      <c r="AJ172" s="489"/>
    </row>
    <row r="173" spans="2:36" s="203" customFormat="1" ht="15.75" hidden="1" customHeight="1" x14ac:dyDescent="0.25">
      <c r="B173" s="283" t="s">
        <v>777</v>
      </c>
      <c r="C173" s="274" t="s">
        <v>378</v>
      </c>
      <c r="D173" s="274" t="s">
        <v>479</v>
      </c>
      <c r="E173" s="274" t="s">
        <v>5</v>
      </c>
      <c r="F173" s="274" t="s">
        <v>483</v>
      </c>
      <c r="G173" s="274" t="s">
        <v>185</v>
      </c>
      <c r="H173" s="274" t="s">
        <v>487</v>
      </c>
      <c r="I173" s="291" t="s">
        <v>745</v>
      </c>
      <c r="J173" s="291" t="s">
        <v>746</v>
      </c>
      <c r="K173" s="291" t="s">
        <v>747</v>
      </c>
      <c r="L173" s="291">
        <v>167270</v>
      </c>
      <c r="M173" s="274" t="s">
        <v>205</v>
      </c>
      <c r="N173" s="274" t="s">
        <v>390</v>
      </c>
      <c r="O173" s="284">
        <v>97.276591999999994</v>
      </c>
      <c r="P173" s="284">
        <v>24.759551999999999</v>
      </c>
      <c r="Q173" s="302"/>
      <c r="R173" s="415"/>
      <c r="S173" s="416"/>
      <c r="T173" s="287" t="str">
        <f>IF(CampList[[#This Row],[HH]]&gt;0,CampList[[#This Row],[Total]]/CampList[[#This Row],[HH]],"NA")</f>
        <v>NA</v>
      </c>
      <c r="U173" s="276" t="s">
        <v>465</v>
      </c>
      <c r="V173" s="276" t="s">
        <v>1013</v>
      </c>
      <c r="W173" s="315" t="s">
        <v>12</v>
      </c>
      <c r="X173" s="276" t="s">
        <v>786</v>
      </c>
      <c r="Y173" s="422"/>
      <c r="Z173" s="289"/>
      <c r="AA173" s="308" t="s">
        <v>775</v>
      </c>
      <c r="AB173" s="290">
        <v>42927</v>
      </c>
      <c r="AC173" s="290"/>
      <c r="AD173" s="283" t="s">
        <v>1438</v>
      </c>
      <c r="AE173" s="276" t="str">
        <f ca="1">IFERROR(OFFSET(DistanceToCamp[Nearest Town],MATCH(CampList[[#This Row],[CP_Pcode]],DistanceToCamp[CP_Pcode],0)-1,0,1,1),"")</f>
        <v>Dawthponeyan  Town</v>
      </c>
      <c r="AF173" s="292">
        <f ca="1">IFERROR(OFFSET(DistanceToCamp[distance],MATCH(CampList[[#This Row],[CP_Pcode]],DistanceToCamp[CP_Pcode],0)-1,0,1,1),"")</f>
        <v>24.701686141136339</v>
      </c>
      <c r="AG173" s="293">
        <f ca="1">IFERROR(INT(CampList[[#This Row],[Distance]]/5)+1,"")</f>
        <v>5</v>
      </c>
      <c r="AI173" s="489"/>
      <c r="AJ173" s="489"/>
    </row>
    <row r="174" spans="2:36" s="203" customFormat="1" ht="15.75" hidden="1" customHeight="1" x14ac:dyDescent="0.25">
      <c r="B174" s="308" t="s">
        <v>777</v>
      </c>
      <c r="C174" s="274" t="s">
        <v>378</v>
      </c>
      <c r="D174" s="274" t="s">
        <v>479</v>
      </c>
      <c r="E174" s="274" t="s">
        <v>5</v>
      </c>
      <c r="F174" s="274" t="s">
        <v>483</v>
      </c>
      <c r="G174" s="274" t="s">
        <v>301</v>
      </c>
      <c r="H174" s="274" t="s">
        <v>494</v>
      </c>
      <c r="I174" s="274" t="s">
        <v>562</v>
      </c>
      <c r="J174" s="274" t="s">
        <v>563</v>
      </c>
      <c r="K174" s="274"/>
      <c r="L174" s="274"/>
      <c r="M174" s="274" t="s">
        <v>12</v>
      </c>
      <c r="N174" s="274" t="s">
        <v>391</v>
      </c>
      <c r="O174" s="284">
        <v>96.793177</v>
      </c>
      <c r="P174" s="284">
        <v>24.224830999999998</v>
      </c>
      <c r="Q174" s="302"/>
      <c r="R174" s="415"/>
      <c r="S174" s="416"/>
      <c r="T174" s="287" t="str">
        <f>IF(CampList[[#This Row],[HH]]&gt;0,CampList[[#This Row],[Total]]/CampList[[#This Row],[HH]],"NA")</f>
        <v>NA</v>
      </c>
      <c r="U174" s="276" t="s">
        <v>465</v>
      </c>
      <c r="V174" s="276" t="s">
        <v>1013</v>
      </c>
      <c r="W174" s="317" t="s">
        <v>12</v>
      </c>
      <c r="X174" s="276" t="s">
        <v>743</v>
      </c>
      <c r="Y174" s="422"/>
      <c r="Z174" s="289"/>
      <c r="AA174" s="308" t="s">
        <v>775</v>
      </c>
      <c r="AB174" s="290">
        <v>42927</v>
      </c>
      <c r="AC174" s="290"/>
      <c r="AD174" s="283" t="s">
        <v>1435</v>
      </c>
      <c r="AE174" s="276" t="str">
        <f ca="1">IFERROR(OFFSET(DistanceToCamp[Nearest Town],MATCH(CampList[[#This Row],[CP_Pcode]],DistanceToCamp[CP_Pcode],0)-1,0,1,1),"")</f>
        <v>Shwegu Town</v>
      </c>
      <c r="AF174" s="292">
        <f ca="1">IFERROR(OFFSET(DistanceToCamp[distance],MATCH(CampList[[#This Row],[CP_Pcode]],DistanceToCamp[CP_Pcode],0)-1,0,1,1),"")</f>
        <v>2.3794331620169178</v>
      </c>
      <c r="AG174" s="293">
        <f ca="1">IFERROR(INT(CampList[[#This Row],[Distance]]/5)+1,"")</f>
        <v>1</v>
      </c>
      <c r="AI174" s="489">
        <v>9</v>
      </c>
      <c r="AJ174" s="489">
        <v>30</v>
      </c>
    </row>
    <row r="175" spans="2:36" s="203" customFormat="1" ht="23.45" customHeight="1" x14ac:dyDescent="0.25">
      <c r="B175" s="283" t="s">
        <v>460</v>
      </c>
      <c r="C175" s="274" t="s">
        <v>378</v>
      </c>
      <c r="D175" s="274" t="s">
        <v>479</v>
      </c>
      <c r="E175" s="274" t="s">
        <v>5</v>
      </c>
      <c r="F175" s="274" t="s">
        <v>483</v>
      </c>
      <c r="G175" s="274" t="s">
        <v>185</v>
      </c>
      <c r="H175" s="274" t="s">
        <v>487</v>
      </c>
      <c r="I175" s="274" t="s">
        <v>739</v>
      </c>
      <c r="J175" s="274" t="s">
        <v>928</v>
      </c>
      <c r="K175" s="274" t="s">
        <v>929</v>
      </c>
      <c r="L175" s="274">
        <v>167060</v>
      </c>
      <c r="M175" s="274" t="s">
        <v>475</v>
      </c>
      <c r="N175" s="274" t="s">
        <v>476</v>
      </c>
      <c r="O175" s="319">
        <v>97.343406999999999</v>
      </c>
      <c r="P175" s="284">
        <v>24.377054000000001</v>
      </c>
      <c r="Q175" s="302"/>
      <c r="R175" s="415">
        <v>3</v>
      </c>
      <c r="S175" s="416">
        <v>18</v>
      </c>
      <c r="T175" s="287">
        <f>IF(CampList[[#This Row],[HH]]&gt;0,CampList[[#This Row],[Total]]/CampList[[#This Row],[HH]],"NA")</f>
        <v>6</v>
      </c>
      <c r="U175" s="276" t="s">
        <v>465</v>
      </c>
      <c r="V175" s="276" t="s">
        <v>1013</v>
      </c>
      <c r="W175" s="276" t="s">
        <v>12</v>
      </c>
      <c r="X175" s="276" t="s">
        <v>786</v>
      </c>
      <c r="Y175" s="422"/>
      <c r="Z175" s="289"/>
      <c r="AA175" s="308" t="s">
        <v>775</v>
      </c>
      <c r="AB175" s="290">
        <v>42950</v>
      </c>
      <c r="AC175" s="290"/>
      <c r="AD175" s="283" t="s">
        <v>1196</v>
      </c>
      <c r="AE175" s="276" t="str">
        <f ca="1">IFERROR(OFFSET(DistanceToCamp[Nearest Town],MATCH(CampList[[#This Row],[CP_Pcode]],DistanceToCamp[CP_Pcode],0)-1,0,1,1),"")</f>
        <v>Momauk Town</v>
      </c>
      <c r="AF175" s="292">
        <f ca="1">IFERROR(OFFSET(DistanceToCamp[distance],MATCH(CampList[[#This Row],[CP_Pcode]],DistanceToCamp[CP_Pcode],0)-1,0,1,1),"")</f>
        <v>13.446032768350749</v>
      </c>
      <c r="AG175" s="293">
        <f ca="1">IFERROR(INT(CampList[[#This Row],[Distance]]/5)+1,"")</f>
        <v>3</v>
      </c>
      <c r="AI175" s="489"/>
      <c r="AJ175" s="489"/>
    </row>
    <row r="176" spans="2:36" s="203" customFormat="1" ht="15.75" hidden="1" customHeight="1" x14ac:dyDescent="0.25">
      <c r="B176" s="283" t="s">
        <v>777</v>
      </c>
      <c r="C176" s="274" t="s">
        <v>378</v>
      </c>
      <c r="D176" s="274" t="s">
        <v>479</v>
      </c>
      <c r="E176" s="274" t="s">
        <v>237</v>
      </c>
      <c r="F176" s="274" t="s">
        <v>485</v>
      </c>
      <c r="G176" s="274" t="s">
        <v>309</v>
      </c>
      <c r="H176" s="274" t="s">
        <v>486</v>
      </c>
      <c r="I176" s="291" t="s">
        <v>565</v>
      </c>
      <c r="J176" s="274" t="s">
        <v>566</v>
      </c>
      <c r="K176" s="291" t="s">
        <v>565</v>
      </c>
      <c r="L176" s="291">
        <v>165735</v>
      </c>
      <c r="M176" s="274" t="s">
        <v>1051</v>
      </c>
      <c r="N176" s="274" t="s">
        <v>357</v>
      </c>
      <c r="O176" s="284">
        <v>97.421104</v>
      </c>
      <c r="P176" s="284">
        <v>25.328987000000001</v>
      </c>
      <c r="Q176" s="302"/>
      <c r="R176" s="376"/>
      <c r="S176" s="377"/>
      <c r="T176" s="287" t="str">
        <f>IF(CampList[[#This Row],[HH]]&gt;0,CampList[[#This Row],[Total]]/CampList[[#This Row],[HH]],"NA")</f>
        <v>NA</v>
      </c>
      <c r="U176" s="276" t="s">
        <v>465</v>
      </c>
      <c r="V176" s="294" t="s">
        <v>1013</v>
      </c>
      <c r="W176" s="276" t="s">
        <v>508</v>
      </c>
      <c r="X176" s="294"/>
      <c r="Y176" s="310"/>
      <c r="Z176" s="311"/>
      <c r="AA176" s="308"/>
      <c r="AB176" s="314"/>
      <c r="AC176" s="314"/>
      <c r="AD176" s="283" t="s">
        <v>542</v>
      </c>
      <c r="AE176" s="276" t="str">
        <f ca="1">IFERROR(OFFSET(DistanceToCamp[Nearest Town],MATCH(CampList[[#This Row],[CP_Pcode]],DistanceToCamp[CP_Pcode],0)-1,0,1,1),"")</f>
        <v/>
      </c>
      <c r="AF176" s="292" t="str">
        <f ca="1">IFERROR(OFFSET(DistanceToCamp[distance],MATCH(CampList[[#This Row],[CP_Pcode]],DistanceToCamp[CP_Pcode],0)-1,0,1,1),"")</f>
        <v/>
      </c>
      <c r="AG176" s="293" t="str">
        <f ca="1">IFERROR(INT(CampList[[#This Row],[Distance]]/5)+1,"")</f>
        <v/>
      </c>
      <c r="AI176" s="489"/>
      <c r="AJ176" s="489"/>
    </row>
    <row r="177" spans="2:36" s="203" customFormat="1" ht="15.75" hidden="1" customHeight="1" x14ac:dyDescent="0.25">
      <c r="B177" s="283" t="s">
        <v>777</v>
      </c>
      <c r="C177" s="274" t="s">
        <v>378</v>
      </c>
      <c r="D177" s="274" t="s">
        <v>479</v>
      </c>
      <c r="E177" s="274" t="s">
        <v>5</v>
      </c>
      <c r="F177" s="274" t="s">
        <v>483</v>
      </c>
      <c r="G177" s="274" t="s">
        <v>185</v>
      </c>
      <c r="H177" s="274" t="s">
        <v>487</v>
      </c>
      <c r="I177" s="291" t="s">
        <v>603</v>
      </c>
      <c r="J177" s="291" t="s">
        <v>604</v>
      </c>
      <c r="K177" s="291" t="s">
        <v>608</v>
      </c>
      <c r="L177" s="291" t="s">
        <v>609</v>
      </c>
      <c r="M177" s="274" t="s">
        <v>211</v>
      </c>
      <c r="N177" s="274" t="s">
        <v>210</v>
      </c>
      <c r="O177" s="284">
        <v>97.346950000000007</v>
      </c>
      <c r="P177" s="284">
        <v>24.25177</v>
      </c>
      <c r="Q177" s="285">
        <v>0</v>
      </c>
      <c r="R177" s="376"/>
      <c r="S177" s="377"/>
      <c r="T177" s="287" t="str">
        <f>IF(CampList[[#This Row],[HH]]&gt;0,CampList[[#This Row],[Total]]/CampList[[#This Row],[HH]],"NA")</f>
        <v>NA</v>
      </c>
      <c r="U177" s="276" t="s">
        <v>465</v>
      </c>
      <c r="V177" s="294" t="s">
        <v>1013</v>
      </c>
      <c r="W177" s="276" t="s">
        <v>508</v>
      </c>
      <c r="X177" s="294" t="s">
        <v>743</v>
      </c>
      <c r="Y177" s="295">
        <v>40756</v>
      </c>
      <c r="Z177" s="295" t="s">
        <v>942</v>
      </c>
      <c r="AA177" s="308" t="s">
        <v>776</v>
      </c>
      <c r="AB177" s="290">
        <v>41971</v>
      </c>
      <c r="AC177" s="290"/>
      <c r="AD177" s="283" t="s">
        <v>963</v>
      </c>
      <c r="AE177" s="276" t="str">
        <f ca="1">IFERROR(OFFSET(DistanceToCamp[Nearest Town],MATCH(CampList[[#This Row],[CP_Pcode]],DistanceToCamp[CP_Pcode],0)-1,0,1,1),"")</f>
        <v/>
      </c>
      <c r="AF177" s="292" t="str">
        <f ca="1">IFERROR(OFFSET(DistanceToCamp[distance],MATCH(CampList[[#This Row],[CP_Pcode]],DistanceToCamp[CP_Pcode],0)-1,0,1,1),"")</f>
        <v/>
      </c>
      <c r="AG177" s="293" t="str">
        <f ca="1">IFERROR(INT(CampList[[#This Row],[Distance]]/5)+1,"")</f>
        <v/>
      </c>
      <c r="AI177" s="489"/>
      <c r="AJ177" s="489"/>
    </row>
    <row r="178" spans="2:36" s="203" customFormat="1" ht="15.75" customHeight="1" x14ac:dyDescent="0.25">
      <c r="B178" s="283" t="s">
        <v>460</v>
      </c>
      <c r="C178" s="274" t="s">
        <v>507</v>
      </c>
      <c r="D178" s="274" t="s">
        <v>490</v>
      </c>
      <c r="E178" s="274" t="s">
        <v>495</v>
      </c>
      <c r="F178" s="274" t="s">
        <v>496</v>
      </c>
      <c r="G178" s="274" t="s">
        <v>297</v>
      </c>
      <c r="H178" s="274" t="s">
        <v>504</v>
      </c>
      <c r="I178" s="309" t="s">
        <v>757</v>
      </c>
      <c r="J178" s="274" t="s">
        <v>758</v>
      </c>
      <c r="K178" s="309" t="s">
        <v>759</v>
      </c>
      <c r="L178" s="309" t="s">
        <v>760</v>
      </c>
      <c r="M178" s="274" t="s">
        <v>761</v>
      </c>
      <c r="N178" s="274" t="s">
        <v>296</v>
      </c>
      <c r="O178" s="284">
        <v>97.404089999999997</v>
      </c>
      <c r="P178" s="284">
        <v>23.094290000000001</v>
      </c>
      <c r="Q178" s="285">
        <v>534.29999999999995</v>
      </c>
      <c r="R178" s="414">
        <v>45</v>
      </c>
      <c r="S178" s="414">
        <v>195</v>
      </c>
      <c r="T178" s="287">
        <f>IF(CampList[[#This Row],[HH]]&gt;0,CampList[[#This Row],[Total]]/CampList[[#This Row],[HH]],"NA")</f>
        <v>4.333333333333333</v>
      </c>
      <c r="U178" s="276" t="s">
        <v>465</v>
      </c>
      <c r="V178" s="276" t="s">
        <v>1013</v>
      </c>
      <c r="W178" s="276" t="s">
        <v>508</v>
      </c>
      <c r="X178" s="276" t="s">
        <v>743</v>
      </c>
      <c r="Y178" s="288">
        <v>41000</v>
      </c>
      <c r="Z178" s="288" t="s">
        <v>424</v>
      </c>
      <c r="AA178" s="308" t="s">
        <v>776</v>
      </c>
      <c r="AB178" s="290">
        <v>43008</v>
      </c>
      <c r="AC178" s="290"/>
      <c r="AD178" s="283" t="s">
        <v>1417</v>
      </c>
      <c r="AE178" s="276" t="str">
        <f ca="1">IFERROR(OFFSET(DistanceToCamp[Nearest Town],MATCH(CampList[[#This Row],[CP_Pcode]],DistanceToCamp[CP_Pcode],0)-1,0,1,1),"")</f>
        <v>Namtu Town</v>
      </c>
      <c r="AF178" s="292">
        <f ca="1">IFERROR(OFFSET(DistanceToCamp[distance],MATCH(CampList[[#This Row],[CP_Pcode]],DistanceToCamp[CP_Pcode],0)-1,0,1,1),"")</f>
        <v>0.37588352961435612</v>
      </c>
      <c r="AG178" s="293">
        <f ca="1">IFERROR(INT(CampList[[#This Row],[Distance]]/5)+1,"")</f>
        <v>1</v>
      </c>
      <c r="AI178" s="489"/>
      <c r="AJ178" s="489"/>
    </row>
    <row r="179" spans="2:36" s="203" customFormat="1" ht="15.75" hidden="1" customHeight="1" x14ac:dyDescent="0.25">
      <c r="B179" s="283" t="s">
        <v>777</v>
      </c>
      <c r="C179" s="274" t="s">
        <v>507</v>
      </c>
      <c r="D179" s="274" t="s">
        <v>490</v>
      </c>
      <c r="E179" s="274" t="s">
        <v>230</v>
      </c>
      <c r="F179" s="274" t="s">
        <v>491</v>
      </c>
      <c r="G179" s="274" t="s">
        <v>146</v>
      </c>
      <c r="H179" s="274" t="s">
        <v>498</v>
      </c>
      <c r="I179" s="309" t="s">
        <v>707</v>
      </c>
      <c r="J179" s="274" t="s">
        <v>708</v>
      </c>
      <c r="K179" s="309" t="s">
        <v>709</v>
      </c>
      <c r="L179" s="309">
        <v>208557</v>
      </c>
      <c r="M179" s="274" t="s">
        <v>370</v>
      </c>
      <c r="N179" s="274" t="s">
        <v>380</v>
      </c>
      <c r="O179" s="284">
        <v>97.848529999999997</v>
      </c>
      <c r="P179" s="284">
        <v>23.4008</v>
      </c>
      <c r="Q179" s="285">
        <v>0</v>
      </c>
      <c r="R179" s="224"/>
      <c r="S179" s="224"/>
      <c r="T179" s="287" t="str">
        <f>IF(CampList[[#This Row],[HH]]&gt;0,CampList[[#This Row],[Total]]/CampList[[#This Row],[HH]],"NA")</f>
        <v>NA</v>
      </c>
      <c r="U179" s="276" t="s">
        <v>465</v>
      </c>
      <c r="V179" s="276" t="s">
        <v>1013</v>
      </c>
      <c r="W179" s="276" t="s">
        <v>508</v>
      </c>
      <c r="X179" s="276" t="s">
        <v>786</v>
      </c>
      <c r="Y179" s="288">
        <v>41275</v>
      </c>
      <c r="Z179" s="288" t="s">
        <v>424</v>
      </c>
      <c r="AA179" s="308" t="s">
        <v>776</v>
      </c>
      <c r="AB179" s="290">
        <v>42852</v>
      </c>
      <c r="AC179" s="290"/>
      <c r="AD179" s="283" t="s">
        <v>1270</v>
      </c>
      <c r="AE179" s="276" t="str">
        <f ca="1">IFERROR(OFFSET(DistanceToCamp[Nearest Town],MATCH(CampList[[#This Row],[CP_Pcode]],DistanceToCamp[CP_Pcode],0)-1,0,1,1),"")</f>
        <v>Kutkai Town</v>
      </c>
      <c r="AF179" s="292">
        <f ca="1">IFERROR(OFFSET(DistanceToCamp[distance],MATCH(CampList[[#This Row],[CP_Pcode]],DistanceToCamp[CP_Pcode],0)-1,0,1,1),"")</f>
        <v>11.65743881259678</v>
      </c>
      <c r="AG179" s="293">
        <f ca="1">IFERROR(INT(CampList[[#This Row],[Distance]]/5)+1,"")</f>
        <v>3</v>
      </c>
      <c r="AI179" s="489"/>
      <c r="AJ179" s="489"/>
    </row>
    <row r="180" spans="2:36" s="203" customFormat="1" ht="15.75" customHeight="1" x14ac:dyDescent="0.25">
      <c r="B180" s="308" t="s">
        <v>460</v>
      </c>
      <c r="C180" s="274" t="s">
        <v>378</v>
      </c>
      <c r="D180" s="274" t="s">
        <v>479</v>
      </c>
      <c r="E180" s="274" t="s">
        <v>299</v>
      </c>
      <c r="F180" s="274" t="s">
        <v>500</v>
      </c>
      <c r="G180" s="274" t="s">
        <v>748</v>
      </c>
      <c r="H180" s="274" t="s">
        <v>749</v>
      </c>
      <c r="I180" s="274" t="s">
        <v>750</v>
      </c>
      <c r="J180" s="274" t="s">
        <v>751</v>
      </c>
      <c r="K180" s="274"/>
      <c r="L180" s="274"/>
      <c r="M180" s="274" t="s">
        <v>748</v>
      </c>
      <c r="N180" s="274" t="s">
        <v>752</v>
      </c>
      <c r="O180" s="284">
        <v>97.568836000000005</v>
      </c>
      <c r="P180" s="284">
        <v>26.541930000000001</v>
      </c>
      <c r="Q180" s="285">
        <v>1025</v>
      </c>
      <c r="R180" s="285">
        <v>5</v>
      </c>
      <c r="S180" s="302">
        <v>32</v>
      </c>
      <c r="T180" s="287">
        <f>IF(CampList[[#This Row],[HH]]&gt;0,CampList[[#This Row],[Total]]/CampList[[#This Row],[HH]],"NA")</f>
        <v>6.4</v>
      </c>
      <c r="U180" s="276" t="s">
        <v>465</v>
      </c>
      <c r="V180" s="276" t="s">
        <v>1013</v>
      </c>
      <c r="W180" s="276" t="s">
        <v>1574</v>
      </c>
      <c r="X180" s="276" t="s">
        <v>786</v>
      </c>
      <c r="Y180" s="421"/>
      <c r="Z180" s="288"/>
      <c r="AA180" s="308" t="s">
        <v>775</v>
      </c>
      <c r="AB180" s="290">
        <v>42927</v>
      </c>
      <c r="AC180" s="290"/>
      <c r="AD180" s="291"/>
      <c r="AE180" s="276" t="str">
        <f ca="1">IFERROR(OFFSET(DistanceToCamp[Nearest Town],MATCH(CampList[[#This Row],[CP_Pcode]],DistanceToCamp[CP_Pcode],0)-1,0,1,1),"")</f>
        <v>Sumprabum Town</v>
      </c>
      <c r="AF180" s="292">
        <f ca="1">IFERROR(OFFSET(DistanceToCamp[distance],MATCH(CampList[[#This Row],[CP_Pcode]],DistanceToCamp[CP_Pcode],0)-1,0,1,1),"")</f>
        <v>0.23004407510846425</v>
      </c>
      <c r="AG180" s="293">
        <f ca="1">IFERROR(INT(CampList[[#This Row],[Distance]]/5)+1,"")</f>
        <v>1</v>
      </c>
      <c r="AI180" s="489"/>
      <c r="AJ180" s="489"/>
    </row>
    <row r="181" spans="2:36" s="203" customFormat="1" ht="23.45" customHeight="1" x14ac:dyDescent="0.25">
      <c r="B181" s="308" t="s">
        <v>460</v>
      </c>
      <c r="C181" s="274" t="s">
        <v>378</v>
      </c>
      <c r="D181" s="274" t="s">
        <v>479</v>
      </c>
      <c r="E181" s="274" t="s">
        <v>237</v>
      </c>
      <c r="F181" s="274" t="s">
        <v>485</v>
      </c>
      <c r="G181" s="274" t="s">
        <v>309</v>
      </c>
      <c r="H181" s="274" t="s">
        <v>486</v>
      </c>
      <c r="I181" s="274" t="s">
        <v>668</v>
      </c>
      <c r="J181" s="274" t="s">
        <v>669</v>
      </c>
      <c r="K181" s="274"/>
      <c r="L181" s="298"/>
      <c r="M181" s="274" t="s">
        <v>753</v>
      </c>
      <c r="N181" s="274" t="s">
        <v>754</v>
      </c>
      <c r="O181" s="284">
        <v>97.541793999999996</v>
      </c>
      <c r="P181" s="284">
        <v>24.752471</v>
      </c>
      <c r="Q181" s="302"/>
      <c r="R181" s="286"/>
      <c r="S181" s="302">
        <v>872</v>
      </c>
      <c r="T181" s="287" t="str">
        <f>IF(CampList[[#This Row],[HH]]&gt;0,CampList[[#This Row],[Total]]/CampList[[#This Row],[HH]],"NA")</f>
        <v>NA</v>
      </c>
      <c r="U181" s="276" t="s">
        <v>467</v>
      </c>
      <c r="V181" s="276" t="s">
        <v>1013</v>
      </c>
      <c r="W181" s="276" t="s">
        <v>853</v>
      </c>
      <c r="X181" s="276" t="s">
        <v>743</v>
      </c>
      <c r="Y181" s="422"/>
      <c r="Z181" s="289"/>
      <c r="AA181" s="308" t="s">
        <v>523</v>
      </c>
      <c r="AB181" s="290">
        <v>42736</v>
      </c>
      <c r="AC181" s="290"/>
      <c r="AD181" s="291" t="s">
        <v>959</v>
      </c>
      <c r="AE181" s="276" t="str">
        <f ca="1">IFERROR(OFFSET(DistanceToCamp[Nearest Town],MATCH(CampList[[#This Row],[CP_Pcode]],DistanceToCamp[CP_Pcode],0)-1,0,1,1),"")</f>
        <v>Laiza town</v>
      </c>
      <c r="AF181" s="292">
        <f ca="1">IFERROR(OFFSET(DistanceToCamp[distance],MATCH(CampList[[#This Row],[CP_Pcode]],DistanceToCamp[CP_Pcode],0)-1,0,1,1),"")</f>
        <v>2.3307568207764655</v>
      </c>
      <c r="AG181" s="293">
        <f ca="1">IFERROR(INT(CampList[[#This Row],[Distance]]/5)+1,"")</f>
        <v>1</v>
      </c>
      <c r="AI181" s="489"/>
      <c r="AJ181" s="489"/>
    </row>
    <row r="182" spans="2:36" s="203" customFormat="1" ht="15.75" customHeight="1" x14ac:dyDescent="0.25">
      <c r="B182" s="283" t="s">
        <v>460</v>
      </c>
      <c r="C182" s="274" t="s">
        <v>507</v>
      </c>
      <c r="D182" s="274" t="s">
        <v>490</v>
      </c>
      <c r="E182" s="274" t="s">
        <v>230</v>
      </c>
      <c r="F182" s="274" t="s">
        <v>491</v>
      </c>
      <c r="G182" s="274" t="s">
        <v>146</v>
      </c>
      <c r="H182" s="274" t="s">
        <v>498</v>
      </c>
      <c r="I182" s="274" t="s">
        <v>670</v>
      </c>
      <c r="J182" s="274" t="s">
        <v>671</v>
      </c>
      <c r="K182" s="274" t="s">
        <v>672</v>
      </c>
      <c r="L182" s="274" t="s">
        <v>673</v>
      </c>
      <c r="M182" s="274" t="s">
        <v>367</v>
      </c>
      <c r="N182" s="274" t="s">
        <v>381</v>
      </c>
      <c r="O182" s="284">
        <v>97.926813999999993</v>
      </c>
      <c r="P182" s="284">
        <v>23.450914000000001</v>
      </c>
      <c r="Q182" s="285">
        <v>4336</v>
      </c>
      <c r="R182" s="414">
        <v>58</v>
      </c>
      <c r="S182" s="414">
        <v>277</v>
      </c>
      <c r="T182" s="287">
        <f>IF(CampList[[#This Row],[HH]]&gt;0,CampList[[#This Row],[Total]]/CampList[[#This Row],[HH]],"NA")</f>
        <v>4.7758620689655169</v>
      </c>
      <c r="U182" s="276" t="s">
        <v>465</v>
      </c>
      <c r="V182" s="276" t="s">
        <v>1013</v>
      </c>
      <c r="W182" s="276" t="s">
        <v>508</v>
      </c>
      <c r="X182" s="276" t="s">
        <v>743</v>
      </c>
      <c r="Y182" s="288">
        <v>41244</v>
      </c>
      <c r="Z182" s="288" t="s">
        <v>424</v>
      </c>
      <c r="AA182" s="308" t="s">
        <v>776</v>
      </c>
      <c r="AB182" s="290">
        <v>43008</v>
      </c>
      <c r="AC182" s="290"/>
      <c r="AD182" s="283" t="s">
        <v>1406</v>
      </c>
      <c r="AE182" s="276" t="str">
        <f ca="1">IFERROR(OFFSET(DistanceToCamp[Nearest Town],MATCH(CampList[[#This Row],[CP_Pcode]],DistanceToCamp[CP_Pcode],0)-1,0,1,1),"")</f>
        <v>Kutkai Town</v>
      </c>
      <c r="AF182" s="292">
        <f ca="1">IFERROR(OFFSET(DistanceToCamp[distance],MATCH(CampList[[#This Row],[CP_Pcode]],DistanceToCamp[CP_Pcode],0)-1,0,1,1),"")</f>
        <v>1.9281430163271129</v>
      </c>
      <c r="AG182" s="293">
        <f ca="1">IFERROR(INT(CampList[[#This Row],[Distance]]/5)+1,"")</f>
        <v>1</v>
      </c>
      <c r="AI182" s="489"/>
      <c r="AJ182" s="489"/>
    </row>
    <row r="183" spans="2:36" s="203" customFormat="1" ht="15.75" customHeight="1" x14ac:dyDescent="0.25">
      <c r="B183" s="299" t="s">
        <v>460</v>
      </c>
      <c r="C183" s="275" t="s">
        <v>378</v>
      </c>
      <c r="D183" s="275" t="s">
        <v>479</v>
      </c>
      <c r="E183" s="275" t="s">
        <v>237</v>
      </c>
      <c r="F183" s="275" t="s">
        <v>485</v>
      </c>
      <c r="G183" s="275" t="s">
        <v>27</v>
      </c>
      <c r="H183" s="275" t="s">
        <v>488</v>
      </c>
      <c r="I183" s="275" t="s">
        <v>1017</v>
      </c>
      <c r="J183" s="300" t="s">
        <v>1132</v>
      </c>
      <c r="K183" s="275" t="s">
        <v>657</v>
      </c>
      <c r="L183" s="275" t="s">
        <v>1133</v>
      </c>
      <c r="M183" s="275" t="s">
        <v>792</v>
      </c>
      <c r="N183" s="275" t="s">
        <v>791</v>
      </c>
      <c r="O183" s="286">
        <v>98.377780000000001</v>
      </c>
      <c r="P183" s="286">
        <v>25.60867</v>
      </c>
      <c r="Q183" s="302">
        <v>2345</v>
      </c>
      <c r="R183" s="414">
        <v>57</v>
      </c>
      <c r="S183" s="653">
        <v>269</v>
      </c>
      <c r="T183" s="287">
        <f>IF(CampList[[#This Row],[HH]]&gt;0,CampList[[#This Row],[Total]]/CampList[[#This Row],[HH]],"NA")</f>
        <v>4.7192982456140351</v>
      </c>
      <c r="U183" s="224" t="s">
        <v>465</v>
      </c>
      <c r="V183" s="276" t="s">
        <v>1013</v>
      </c>
      <c r="W183" s="224" t="s">
        <v>508</v>
      </c>
      <c r="X183" s="224" t="s">
        <v>786</v>
      </c>
      <c r="Y183" s="422">
        <v>41091</v>
      </c>
      <c r="Z183" s="302" t="s">
        <v>943</v>
      </c>
      <c r="AA183" s="275" t="s">
        <v>776</v>
      </c>
      <c r="AB183" s="290">
        <v>43008</v>
      </c>
      <c r="AC183" s="290"/>
      <c r="AD183" s="304" t="s">
        <v>1329</v>
      </c>
      <c r="AE183" s="305" t="str">
        <f ca="1">IFERROR(OFFSET(DistanceToCamp[Nearest Town],MATCH(CampList[[#This Row],[CP_Pcode]],DistanceToCamp[CP_Pcode],0)-1,0,1,1),"")</f>
        <v>Pang War Town</v>
      </c>
      <c r="AF183" s="292">
        <f ca="1">IFERROR(OFFSET(DistanceToCamp[distance],MATCH(CampList[[#This Row],[CP_Pcode]],DistanceToCamp[CP_Pcode],0)-1,0,1,1),"")</f>
        <v>0.18710270881855062</v>
      </c>
      <c r="AG183" s="306">
        <f ca="1">IFERROR(INT(CampList[[#This Row],[Distance]]/5)+1,"")</f>
        <v>1</v>
      </c>
      <c r="AI183" s="489"/>
      <c r="AJ183" s="489"/>
    </row>
    <row r="184" spans="2:36" s="203" customFormat="1" ht="15.75" customHeight="1" x14ac:dyDescent="0.25">
      <c r="B184" s="299" t="s">
        <v>460</v>
      </c>
      <c r="C184" s="275" t="s">
        <v>507</v>
      </c>
      <c r="D184" s="275" t="s">
        <v>490</v>
      </c>
      <c r="E184" s="275" t="s">
        <v>230</v>
      </c>
      <c r="F184" s="275" t="s">
        <v>491</v>
      </c>
      <c r="G184" s="275" t="s">
        <v>146</v>
      </c>
      <c r="H184" s="275" t="s">
        <v>498</v>
      </c>
      <c r="I184" s="275" t="s">
        <v>670</v>
      </c>
      <c r="J184" s="300" t="s">
        <v>671</v>
      </c>
      <c r="K184" s="275" t="s">
        <v>655</v>
      </c>
      <c r="L184" s="275" t="s">
        <v>674</v>
      </c>
      <c r="M184" s="275" t="s">
        <v>368</v>
      </c>
      <c r="N184" s="275" t="s">
        <v>382</v>
      </c>
      <c r="O184" s="286">
        <v>97.947360000000003</v>
      </c>
      <c r="P184" s="286">
        <v>23.460349999999998</v>
      </c>
      <c r="Q184" s="302">
        <v>4430</v>
      </c>
      <c r="R184" s="826">
        <v>29</v>
      </c>
      <c r="S184" s="657">
        <v>138</v>
      </c>
      <c r="T184" s="287">
        <f>IF(CampList[[#This Row],[HH]]&gt;0,CampList[[#This Row],[Total]]/CampList[[#This Row],[HH]],"NA")</f>
        <v>4.7586206896551726</v>
      </c>
      <c r="U184" s="224" t="s">
        <v>465</v>
      </c>
      <c r="V184" s="276" t="s">
        <v>1013</v>
      </c>
      <c r="W184" s="224" t="s">
        <v>508</v>
      </c>
      <c r="X184" s="224" t="s">
        <v>743</v>
      </c>
      <c r="Y184" s="303">
        <v>41244</v>
      </c>
      <c r="Z184" s="302" t="s">
        <v>1066</v>
      </c>
      <c r="AA184" s="275" t="s">
        <v>776</v>
      </c>
      <c r="AB184" s="290">
        <v>43008</v>
      </c>
      <c r="AC184" s="290"/>
      <c r="AD184" s="304" t="s">
        <v>1570</v>
      </c>
      <c r="AE184" s="305" t="str">
        <f ca="1">IFERROR(OFFSET(DistanceToCamp[Nearest Town],MATCH(CampList[[#This Row],[CP_Pcode]],DistanceToCamp[CP_Pcode],0)-1,0,1,1),"")</f>
        <v>Kutkai Town</v>
      </c>
      <c r="AF184" s="292">
        <f ca="1">IFERROR(OFFSET(DistanceToCamp[distance],MATCH(CampList[[#This Row],[CP_Pcode]],DistanceToCamp[CP_Pcode],0)-1,0,1,1),"")</f>
        <v>0.42212558305526549</v>
      </c>
      <c r="AG184" s="306">
        <f ca="1">IFERROR(INT(CampList[[#This Row],[Distance]]/5)+1,"")</f>
        <v>1</v>
      </c>
      <c r="AI184" s="489"/>
      <c r="AJ184" s="489"/>
    </row>
    <row r="185" spans="2:36" s="203" customFormat="1" ht="15.75" hidden="1" customHeight="1" x14ac:dyDescent="0.25">
      <c r="B185" s="326" t="s">
        <v>777</v>
      </c>
      <c r="C185" s="274" t="s">
        <v>378</v>
      </c>
      <c r="D185" s="274" t="s">
        <v>479</v>
      </c>
      <c r="E185" s="274" t="s">
        <v>5</v>
      </c>
      <c r="F185" s="274" t="s">
        <v>483</v>
      </c>
      <c r="G185" s="274" t="s">
        <v>151</v>
      </c>
      <c r="H185" s="274" t="s">
        <v>493</v>
      </c>
      <c r="I185" s="274" t="s">
        <v>567</v>
      </c>
      <c r="J185" s="274" t="s">
        <v>568</v>
      </c>
      <c r="K185" s="274" t="s">
        <v>567</v>
      </c>
      <c r="L185" s="274">
        <v>167495</v>
      </c>
      <c r="M185" s="274" t="s">
        <v>295</v>
      </c>
      <c r="N185" s="274" t="s">
        <v>1161</v>
      </c>
      <c r="O185" s="284">
        <v>97.174999999999997</v>
      </c>
      <c r="P185" s="284">
        <v>23.867000000000001</v>
      </c>
      <c r="Q185" s="302"/>
      <c r="R185" s="376"/>
      <c r="S185" s="377"/>
      <c r="T185" s="287" t="str">
        <f>IF(CampList[[#This Row],[HH]]&gt;0,CampList[[#This Row],[Total]]/CampList[[#This Row],[HH]],"NA")</f>
        <v>NA</v>
      </c>
      <c r="U185" s="276" t="s">
        <v>467</v>
      </c>
      <c r="V185" s="294" t="s">
        <v>1013</v>
      </c>
      <c r="W185" s="276" t="s">
        <v>508</v>
      </c>
      <c r="X185" s="294"/>
      <c r="Y185" s="310"/>
      <c r="Z185" s="311"/>
      <c r="AA185" s="308"/>
      <c r="AB185" s="290">
        <v>41701</v>
      </c>
      <c r="AC185" s="290"/>
      <c r="AD185" s="283" t="s">
        <v>873</v>
      </c>
      <c r="AE185" s="276" t="str">
        <f ca="1">IFERROR(OFFSET(DistanceToCamp[Nearest Town],MATCH(CampList[[#This Row],[CP_Pcode]],DistanceToCamp[CP_Pcode],0)-1,0,1,1),"")</f>
        <v/>
      </c>
      <c r="AF185" s="292" t="str">
        <f ca="1">IFERROR(OFFSET(DistanceToCamp[distance],MATCH(CampList[[#This Row],[CP_Pcode]],DistanceToCamp[CP_Pcode],0)-1,0,1,1),"")</f>
        <v/>
      </c>
      <c r="AG185" s="293" t="str">
        <f ca="1">IFERROR(INT(CampList[[#This Row],[Distance]]/5)+1,"")</f>
        <v/>
      </c>
      <c r="AI185" s="489"/>
      <c r="AJ185" s="489"/>
    </row>
    <row r="186" spans="2:36" s="203" customFormat="1" ht="15.75" hidden="1" customHeight="1" x14ac:dyDescent="0.25">
      <c r="B186" s="283" t="s">
        <v>777</v>
      </c>
      <c r="C186" s="274" t="s">
        <v>378</v>
      </c>
      <c r="D186" s="274" t="s">
        <v>479</v>
      </c>
      <c r="E186" s="274" t="s">
        <v>5</v>
      </c>
      <c r="F186" s="274" t="s">
        <v>483</v>
      </c>
      <c r="G186" s="274" t="s">
        <v>151</v>
      </c>
      <c r="H186" s="274" t="s">
        <v>493</v>
      </c>
      <c r="I186" s="291" t="s">
        <v>567</v>
      </c>
      <c r="J186" s="291" t="s">
        <v>568</v>
      </c>
      <c r="K186" s="291"/>
      <c r="L186" s="291"/>
      <c r="M186" s="274" t="s">
        <v>472</v>
      </c>
      <c r="N186" s="274" t="s">
        <v>473</v>
      </c>
      <c r="O186" s="284">
        <v>96.808850000000007</v>
      </c>
      <c r="P186" s="284">
        <v>24.20645</v>
      </c>
      <c r="Q186" s="285">
        <v>781.8</v>
      </c>
      <c r="R186" s="376">
        <v>0</v>
      </c>
      <c r="S186" s="377">
        <v>0</v>
      </c>
      <c r="T186" s="287" t="str">
        <f>IF(CampList[[#This Row],[HH]]&gt;0,CampList[[#This Row],[Total]]/CampList[[#This Row],[HH]],"NA")</f>
        <v>NA</v>
      </c>
      <c r="U186" s="276" t="s">
        <v>467</v>
      </c>
      <c r="V186" s="294" t="s">
        <v>1013</v>
      </c>
      <c r="W186" s="276" t="s">
        <v>508</v>
      </c>
      <c r="X186" s="294" t="s">
        <v>786</v>
      </c>
      <c r="Y186" s="295">
        <v>41091</v>
      </c>
      <c r="Z186" s="295"/>
      <c r="AA186" s="308" t="s">
        <v>776</v>
      </c>
      <c r="AB186" s="290">
        <v>41661</v>
      </c>
      <c r="AC186" s="290"/>
      <c r="AD186" s="283" t="s">
        <v>846</v>
      </c>
      <c r="AE186" s="276" t="str">
        <f ca="1">IFERROR(OFFSET(DistanceToCamp[Nearest Town],MATCH(CampList[[#This Row],[CP_Pcode]],DistanceToCamp[CP_Pcode],0)-1,0,1,1),"")</f>
        <v/>
      </c>
      <c r="AF186" s="292" t="str">
        <f ca="1">IFERROR(OFFSET(DistanceToCamp[distance],MATCH(CampList[[#This Row],[CP_Pcode]],DistanceToCamp[CP_Pcode],0)-1,0,1,1),"")</f>
        <v/>
      </c>
      <c r="AG186" s="293" t="str">
        <f ca="1">IFERROR(INT(CampList[[#This Row],[Distance]]/5)+1,"")</f>
        <v/>
      </c>
      <c r="AI186" s="489"/>
      <c r="AJ186" s="489"/>
    </row>
    <row r="187" spans="2:36" s="203" customFormat="1" ht="15.75" customHeight="1" x14ac:dyDescent="0.25">
      <c r="B187" s="283" t="s">
        <v>460</v>
      </c>
      <c r="C187" s="274" t="s">
        <v>507</v>
      </c>
      <c r="D187" s="274" t="s">
        <v>490</v>
      </c>
      <c r="E187" s="274" t="s">
        <v>230</v>
      </c>
      <c r="F187" s="274" t="s">
        <v>491</v>
      </c>
      <c r="G187" s="274" t="s">
        <v>146</v>
      </c>
      <c r="H187" s="274" t="s">
        <v>498</v>
      </c>
      <c r="I187" s="309" t="s">
        <v>663</v>
      </c>
      <c r="J187" s="274" t="s">
        <v>1058</v>
      </c>
      <c r="K187" s="309" t="s">
        <v>663</v>
      </c>
      <c r="L187" s="327">
        <v>208747</v>
      </c>
      <c r="M187" s="274" t="s">
        <v>366</v>
      </c>
      <c r="N187" s="274" t="s">
        <v>383</v>
      </c>
      <c r="O187" s="284">
        <v>97.793019999999999</v>
      </c>
      <c r="P187" s="284">
        <v>23.588920000000002</v>
      </c>
      <c r="Q187" s="285">
        <v>1012.5</v>
      </c>
      <c r="R187" s="414">
        <v>68</v>
      </c>
      <c r="S187" s="653">
        <v>310</v>
      </c>
      <c r="T187" s="287">
        <f>IF(CampList[[#This Row],[HH]]&gt;0,CampList[[#This Row],[Total]]/CampList[[#This Row],[HH]],"NA")</f>
        <v>4.5588235294117645</v>
      </c>
      <c r="U187" s="276" t="s">
        <v>465</v>
      </c>
      <c r="V187" s="276" t="s">
        <v>1013</v>
      </c>
      <c r="W187" s="276" t="s">
        <v>508</v>
      </c>
      <c r="X187" s="276" t="s">
        <v>786</v>
      </c>
      <c r="Y187" s="288">
        <v>41275</v>
      </c>
      <c r="Z187" s="288" t="s">
        <v>424</v>
      </c>
      <c r="AA187" s="308" t="s">
        <v>776</v>
      </c>
      <c r="AB187" s="290">
        <v>43008</v>
      </c>
      <c r="AC187" s="290"/>
      <c r="AD187" s="283" t="s">
        <v>1405</v>
      </c>
      <c r="AE187" s="276" t="str">
        <f ca="1">IFERROR(OFFSET(DistanceToCamp[Nearest Town],MATCH(CampList[[#This Row],[CP_Pcode]],DistanceToCamp[CP_Pcode],0)-1,0,1,1),"")</f>
        <v>Kutkai Town</v>
      </c>
      <c r="AF187" s="292">
        <f ca="1">IFERROR(OFFSET(DistanceToCamp[distance],MATCH(CampList[[#This Row],[CP_Pcode]],DistanceToCamp[CP_Pcode],0)-1,0,1,1),"")</f>
        <v>21.050742639251741</v>
      </c>
      <c r="AG187" s="293">
        <f ca="1">IFERROR(INT(CampList[[#This Row],[Distance]]/5)+1,"")</f>
        <v>5</v>
      </c>
      <c r="AI187" s="489"/>
      <c r="AJ187" s="489"/>
    </row>
    <row r="188" spans="2:36" s="203" customFormat="1" ht="15.75" hidden="1" customHeight="1" x14ac:dyDescent="0.25">
      <c r="B188" s="283" t="s">
        <v>777</v>
      </c>
      <c r="C188" s="274" t="s">
        <v>378</v>
      </c>
      <c r="D188" s="274" t="s">
        <v>479</v>
      </c>
      <c r="E188" s="274" t="s">
        <v>180</v>
      </c>
      <c r="F188" s="274" t="s">
        <v>480</v>
      </c>
      <c r="G188" s="274" t="s">
        <v>481</v>
      </c>
      <c r="H188" s="274" t="s">
        <v>482</v>
      </c>
      <c r="I188" s="291" t="s">
        <v>553</v>
      </c>
      <c r="J188" s="291" t="s">
        <v>554</v>
      </c>
      <c r="K188" s="291" t="s">
        <v>553</v>
      </c>
      <c r="L188" s="291">
        <v>166773</v>
      </c>
      <c r="M188" s="274" t="s">
        <v>142</v>
      </c>
      <c r="N188" s="274" t="s">
        <v>141</v>
      </c>
      <c r="O188" s="284">
        <v>96.354159999999993</v>
      </c>
      <c r="P188" s="284">
        <v>25.658670000000001</v>
      </c>
      <c r="Q188" s="285">
        <v>0</v>
      </c>
      <c r="R188" s="376">
        <v>0</v>
      </c>
      <c r="S188" s="377">
        <v>0</v>
      </c>
      <c r="T188" s="287" t="str">
        <f>IF(CampList[[#This Row],[HH]]&gt;0,CampList[[#This Row],[Total]]/CampList[[#This Row],[HH]],"NA")</f>
        <v>NA</v>
      </c>
      <c r="U188" s="276" t="s">
        <v>465</v>
      </c>
      <c r="V188" s="294" t="s">
        <v>1013</v>
      </c>
      <c r="W188" s="276" t="s">
        <v>508</v>
      </c>
      <c r="X188" s="294" t="s">
        <v>786</v>
      </c>
      <c r="Y188" s="295">
        <v>41275</v>
      </c>
      <c r="Z188" s="295"/>
      <c r="AA188" s="308" t="s">
        <v>775</v>
      </c>
      <c r="AB188" s="290">
        <v>41774</v>
      </c>
      <c r="AC188" s="290"/>
      <c r="AD188" s="283" t="s">
        <v>902</v>
      </c>
      <c r="AE188" s="276" t="str">
        <f ca="1">IFERROR(OFFSET(DistanceToCamp[Nearest Town],MATCH(CampList[[#This Row],[CP_Pcode]],DistanceToCamp[CP_Pcode],0)-1,0,1,1),"")</f>
        <v/>
      </c>
      <c r="AF188" s="292" t="str">
        <f ca="1">IFERROR(OFFSET(DistanceToCamp[distance],MATCH(CampList[[#This Row],[CP_Pcode]],DistanceToCamp[CP_Pcode],0)-1,0,1,1),"")</f>
        <v/>
      </c>
      <c r="AG188" s="293" t="str">
        <f ca="1">IFERROR(INT(CampList[[#This Row],[Distance]]/5)+1,"")</f>
        <v/>
      </c>
      <c r="AI188" s="489"/>
      <c r="AJ188" s="489"/>
    </row>
    <row r="189" spans="2:36" s="203" customFormat="1" ht="15.75" hidden="1" customHeight="1" x14ac:dyDescent="0.25">
      <c r="B189" s="283" t="s">
        <v>777</v>
      </c>
      <c r="C189" s="274" t="s">
        <v>378</v>
      </c>
      <c r="D189" s="274" t="s">
        <v>479</v>
      </c>
      <c r="E189" s="274" t="s">
        <v>237</v>
      </c>
      <c r="F189" s="274" t="s">
        <v>485</v>
      </c>
      <c r="G189" s="274" t="s">
        <v>237</v>
      </c>
      <c r="H189" s="274" t="s">
        <v>489</v>
      </c>
      <c r="I189" s="291" t="s">
        <v>612</v>
      </c>
      <c r="J189" s="291" t="s">
        <v>613</v>
      </c>
      <c r="K189" s="291" t="s">
        <v>615</v>
      </c>
      <c r="L189" s="291" t="s">
        <v>616</v>
      </c>
      <c r="M189" s="274" t="s">
        <v>266</v>
      </c>
      <c r="N189" s="274" t="s">
        <v>265</v>
      </c>
      <c r="O189" s="284">
        <v>97.376671999999999</v>
      </c>
      <c r="P189" s="284">
        <v>25.387862999999999</v>
      </c>
      <c r="Q189" s="285">
        <v>0</v>
      </c>
      <c r="R189" s="376"/>
      <c r="S189" s="377"/>
      <c r="T189" s="287" t="str">
        <f>IF(CampList[[#This Row],[HH]]&gt;0,CampList[[#This Row],[Total]]/CampList[[#This Row],[HH]],"NA")</f>
        <v>NA</v>
      </c>
      <c r="U189" s="276" t="s">
        <v>465</v>
      </c>
      <c r="V189" s="294" t="s">
        <v>1013</v>
      </c>
      <c r="W189" s="276" t="s">
        <v>508</v>
      </c>
      <c r="X189" s="294" t="s">
        <v>743</v>
      </c>
      <c r="Y189" s="295">
        <v>40817</v>
      </c>
      <c r="Z189" s="295" t="s">
        <v>462</v>
      </c>
      <c r="AA189" s="308" t="s">
        <v>776</v>
      </c>
      <c r="AB189" s="290">
        <v>42180</v>
      </c>
      <c r="AC189" s="290"/>
      <c r="AD189" s="283" t="s">
        <v>1065</v>
      </c>
      <c r="AE189" s="276" t="str">
        <f ca="1">IFERROR(OFFSET(DistanceToCamp[Nearest Town],MATCH(CampList[[#This Row],[CP_Pcode]],DistanceToCamp[CP_Pcode],0)-1,0,1,1),"")</f>
        <v>Myitkyina Town</v>
      </c>
      <c r="AF189" s="292">
        <f ca="1">IFERROR(OFFSET(DistanceToCamp[distance],MATCH(CampList[[#This Row],[CP_Pcode]],DistanceToCamp[CP_Pcode],0)-1,0,1,1),"")</f>
        <v>1.3751794210741128</v>
      </c>
      <c r="AG189" s="293">
        <f ca="1">IFERROR(INT(CampList[[#This Row],[Distance]]/5)+1,"")</f>
        <v>1</v>
      </c>
      <c r="AI189" s="489"/>
      <c r="AJ189" s="489"/>
    </row>
    <row r="190" spans="2:36" s="203" customFormat="1" ht="15.75" hidden="1" customHeight="1" x14ac:dyDescent="0.25">
      <c r="B190" s="283" t="s">
        <v>777</v>
      </c>
      <c r="C190" s="274" t="s">
        <v>378</v>
      </c>
      <c r="D190" s="274" t="s">
        <v>479</v>
      </c>
      <c r="E190" s="274" t="s">
        <v>5</v>
      </c>
      <c r="F190" s="274" t="s">
        <v>483</v>
      </c>
      <c r="G190" s="274" t="s">
        <v>151</v>
      </c>
      <c r="H190" s="274" t="s">
        <v>493</v>
      </c>
      <c r="I190" s="291" t="s">
        <v>601</v>
      </c>
      <c r="J190" s="291" t="s">
        <v>602</v>
      </c>
      <c r="K190" s="291"/>
      <c r="L190" s="291"/>
      <c r="M190" s="274" t="s">
        <v>162</v>
      </c>
      <c r="N190" s="274" t="s">
        <v>161</v>
      </c>
      <c r="O190" s="284"/>
      <c r="P190" s="284"/>
      <c r="Q190" s="302"/>
      <c r="R190" s="376">
        <v>0</v>
      </c>
      <c r="S190" s="377">
        <v>0</v>
      </c>
      <c r="T190" s="287" t="str">
        <f>IF(CampList[[#This Row],[HH]]&gt;0,CampList[[#This Row],[Total]]/CampList[[#This Row],[HH]],"NA")</f>
        <v>NA</v>
      </c>
      <c r="U190" s="276" t="s">
        <v>467</v>
      </c>
      <c r="V190" s="294" t="s">
        <v>1013</v>
      </c>
      <c r="W190" s="276" t="s">
        <v>508</v>
      </c>
      <c r="X190" s="294"/>
      <c r="Y190" s="310"/>
      <c r="Z190" s="311"/>
      <c r="AA190" s="308" t="s">
        <v>776</v>
      </c>
      <c r="AB190" s="290">
        <v>41737</v>
      </c>
      <c r="AC190" s="290"/>
      <c r="AD190" s="283" t="s">
        <v>898</v>
      </c>
      <c r="AE190" s="276" t="str">
        <f ca="1">IFERROR(OFFSET(DistanceToCamp[Nearest Town],MATCH(CampList[[#This Row],[CP_Pcode]],DistanceToCamp[CP_Pcode],0)-1,0,1,1),"")</f>
        <v/>
      </c>
      <c r="AF190" s="292" t="str">
        <f ca="1">IFERROR(OFFSET(DistanceToCamp[distance],MATCH(CampList[[#This Row],[CP_Pcode]],DistanceToCamp[CP_Pcode],0)-1,0,1,1),"")</f>
        <v/>
      </c>
      <c r="AG190" s="293" t="str">
        <f ca="1">IFERROR(INT(CampList[[#This Row],[Distance]]/5)+1,"")</f>
        <v/>
      </c>
      <c r="AI190" s="489"/>
      <c r="AJ190" s="489"/>
    </row>
    <row r="191" spans="2:36" s="203" customFormat="1" ht="15.75" customHeight="1" x14ac:dyDescent="0.25">
      <c r="B191" s="283" t="s">
        <v>460</v>
      </c>
      <c r="C191" s="274" t="s">
        <v>378</v>
      </c>
      <c r="D191" s="274" t="s">
        <v>479</v>
      </c>
      <c r="E191" s="274" t="s">
        <v>5</v>
      </c>
      <c r="F191" s="274" t="s">
        <v>483</v>
      </c>
      <c r="G191" s="274" t="s">
        <v>151</v>
      </c>
      <c r="H191" s="274" t="s">
        <v>493</v>
      </c>
      <c r="I191" s="274" t="s">
        <v>813</v>
      </c>
      <c r="J191" s="274" t="s">
        <v>1136</v>
      </c>
      <c r="K191" s="274" t="s">
        <v>813</v>
      </c>
      <c r="L191" s="274">
        <v>167301</v>
      </c>
      <c r="M191" s="274" t="s">
        <v>813</v>
      </c>
      <c r="N191" s="274" t="s">
        <v>814</v>
      </c>
      <c r="O191" s="284">
        <v>97.225881000000001</v>
      </c>
      <c r="P191" s="284">
        <v>23.972453000000002</v>
      </c>
      <c r="Q191" s="302">
        <v>466</v>
      </c>
      <c r="R191" s="414">
        <v>405</v>
      </c>
      <c r="S191" s="414">
        <v>1855</v>
      </c>
      <c r="T191" s="287">
        <f>IF(CampList[[#This Row],[HH]]&gt;0,CampList[[#This Row],[Total]]/CampList[[#This Row],[HH]],"NA")</f>
        <v>4.5802469135802468</v>
      </c>
      <c r="U191" s="276" t="s">
        <v>465</v>
      </c>
      <c r="V191" s="276" t="s">
        <v>1013</v>
      </c>
      <c r="W191" s="276" t="s">
        <v>508</v>
      </c>
      <c r="X191" s="276" t="s">
        <v>786</v>
      </c>
      <c r="Y191" s="421">
        <v>41548</v>
      </c>
      <c r="Z191" s="288" t="s">
        <v>424</v>
      </c>
      <c r="AA191" s="308" t="s">
        <v>776</v>
      </c>
      <c r="AB191" s="290">
        <v>43008</v>
      </c>
      <c r="AC191" s="290"/>
      <c r="AD191" s="283" t="s">
        <v>1395</v>
      </c>
      <c r="AE191" s="276" t="str">
        <f ca="1">IFERROR(OFFSET(DistanceToCamp[Nearest Town],MATCH(CampList[[#This Row],[CP_Pcode]],DistanceToCamp[CP_Pcode],0)-1,0,1,1),"")</f>
        <v>Mansi Town</v>
      </c>
      <c r="AF191" s="292">
        <f ca="1">IFERROR(OFFSET(DistanceToCamp[distance],MATCH(CampList[[#This Row],[CP_Pcode]],DistanceToCamp[CP_Pcode],0)-1,0,1,1),"")</f>
        <v>17.731070777343263</v>
      </c>
      <c r="AG191" s="293">
        <f ca="1">IFERROR(INT(CampList[[#This Row],[Distance]]/5)+1,"")</f>
        <v>4</v>
      </c>
      <c r="AI191" s="489"/>
      <c r="AJ191" s="489"/>
    </row>
    <row r="192" spans="2:36" s="203" customFormat="1" ht="15.75" hidden="1" customHeight="1" x14ac:dyDescent="0.25">
      <c r="B192" s="283" t="s">
        <v>777</v>
      </c>
      <c r="C192" s="274" t="s">
        <v>507</v>
      </c>
      <c r="D192" s="274" t="s">
        <v>490</v>
      </c>
      <c r="E192" s="274" t="s">
        <v>230</v>
      </c>
      <c r="F192" s="274" t="s">
        <v>491</v>
      </c>
      <c r="G192" s="274" t="s">
        <v>146</v>
      </c>
      <c r="H192" s="274" t="s">
        <v>498</v>
      </c>
      <c r="I192" s="274" t="s">
        <v>726</v>
      </c>
      <c r="J192" s="274" t="s">
        <v>727</v>
      </c>
      <c r="K192" s="309" t="s">
        <v>728</v>
      </c>
      <c r="L192" s="309"/>
      <c r="M192" s="274" t="s">
        <v>365</v>
      </c>
      <c r="N192" s="274" t="s">
        <v>384</v>
      </c>
      <c r="O192" s="284">
        <v>98.213958000000005</v>
      </c>
      <c r="P192" s="284">
        <v>23.391741</v>
      </c>
      <c r="Q192" s="285">
        <v>0</v>
      </c>
      <c r="R192" s="376">
        <v>0</v>
      </c>
      <c r="S192" s="377">
        <v>0</v>
      </c>
      <c r="T192" s="287" t="str">
        <f>IF(CampList[[#This Row],[HH]]&gt;0,CampList[[#This Row],[Total]]/CampList[[#This Row],[HH]],"NA")</f>
        <v>NA</v>
      </c>
      <c r="U192" s="276" t="s">
        <v>465</v>
      </c>
      <c r="V192" s="294" t="s">
        <v>1013</v>
      </c>
      <c r="W192" s="276" t="s">
        <v>508</v>
      </c>
      <c r="X192" s="294" t="s">
        <v>786</v>
      </c>
      <c r="Y192" s="295">
        <v>40787</v>
      </c>
      <c r="Z192" s="295"/>
      <c r="AA192" s="308" t="s">
        <v>776</v>
      </c>
      <c r="AB192" s="290">
        <v>41701</v>
      </c>
      <c r="AC192" s="290"/>
      <c r="AD192" s="283" t="s">
        <v>875</v>
      </c>
      <c r="AE192" s="276" t="str">
        <f ca="1">IFERROR(OFFSET(DistanceToCamp[Nearest Town],MATCH(CampList[[#This Row],[CP_Pcode]],DistanceToCamp[CP_Pcode],0)-1,0,1,1),"")</f>
        <v/>
      </c>
      <c r="AF192" s="292" t="str">
        <f ca="1">IFERROR(OFFSET(DistanceToCamp[distance],MATCH(CampList[[#This Row],[CP_Pcode]],DistanceToCamp[CP_Pcode],0)-1,0,1,1),"")</f>
        <v/>
      </c>
      <c r="AG192" s="293" t="str">
        <f ca="1">IFERROR(INT(CampList[[#This Row],[Distance]]/5)+1,"")</f>
        <v/>
      </c>
      <c r="AI192" s="489"/>
      <c r="AJ192" s="489"/>
    </row>
    <row r="193" spans="2:36" s="203" customFormat="1" ht="15.75" customHeight="1" x14ac:dyDescent="0.25">
      <c r="B193" s="308" t="s">
        <v>460</v>
      </c>
      <c r="C193" s="274" t="s">
        <v>507</v>
      </c>
      <c r="D193" s="274" t="s">
        <v>490</v>
      </c>
      <c r="E193" s="274" t="s">
        <v>230</v>
      </c>
      <c r="F193" s="274" t="s">
        <v>491</v>
      </c>
      <c r="G193" s="274" t="s">
        <v>146</v>
      </c>
      <c r="H193" s="274" t="s">
        <v>498</v>
      </c>
      <c r="I193" s="274" t="s">
        <v>707</v>
      </c>
      <c r="J193" s="274" t="s">
        <v>708</v>
      </c>
      <c r="K193" s="274" t="s">
        <v>709</v>
      </c>
      <c r="L193" s="274">
        <v>208557</v>
      </c>
      <c r="M193" s="274" t="s">
        <v>371</v>
      </c>
      <c r="N193" s="274" t="s">
        <v>385</v>
      </c>
      <c r="O193" s="284">
        <v>97.837040000000002</v>
      </c>
      <c r="P193" s="284">
        <v>23.38503</v>
      </c>
      <c r="Q193" s="285">
        <v>0</v>
      </c>
      <c r="R193" s="654">
        <v>187</v>
      </c>
      <c r="S193" s="414">
        <v>971</v>
      </c>
      <c r="T193" s="287">
        <f>IF(CampList[[#This Row],[HH]]&gt;0,CampList[[#This Row],[Total]]/CampList[[#This Row],[HH]],"NA")</f>
        <v>5.1925133689839571</v>
      </c>
      <c r="U193" s="276" t="s">
        <v>465</v>
      </c>
      <c r="V193" s="276" t="s">
        <v>1013</v>
      </c>
      <c r="W193" s="276" t="s">
        <v>508</v>
      </c>
      <c r="X193" s="276" t="s">
        <v>786</v>
      </c>
      <c r="Y193" s="288">
        <v>41244</v>
      </c>
      <c r="Z193" s="288" t="s">
        <v>424</v>
      </c>
      <c r="AA193" s="274" t="s">
        <v>776</v>
      </c>
      <c r="AB193" s="290">
        <v>43008</v>
      </c>
      <c r="AC193" s="290"/>
      <c r="AD193" s="291" t="s">
        <v>1407</v>
      </c>
      <c r="AE193" s="276" t="str">
        <f ca="1">IFERROR(OFFSET(DistanceToCamp[Nearest Town],MATCH(CampList[[#This Row],[CP_Pcode]],DistanceToCamp[CP_Pcode],0)-1,0,1,1),"")</f>
        <v>Kutkai Town</v>
      </c>
      <c r="AF193" s="292">
        <f ca="1">IFERROR(OFFSET(DistanceToCamp[distance],MATCH(CampList[[#This Row],[CP_Pcode]],DistanceToCamp[CP_Pcode],0)-1,0,1,1),"")</f>
        <v>13.632081902964599</v>
      </c>
      <c r="AG193" s="293">
        <f ca="1">IFERROR(INT(CampList[[#This Row],[Distance]]/5)+1,"")</f>
        <v>3</v>
      </c>
      <c r="AI193" s="489"/>
      <c r="AJ193" s="489"/>
    </row>
    <row r="194" spans="2:36" s="203" customFormat="1" ht="15.75" customHeight="1" x14ac:dyDescent="0.25">
      <c r="B194" s="283" t="s">
        <v>460</v>
      </c>
      <c r="C194" s="274" t="s">
        <v>507</v>
      </c>
      <c r="D194" s="274" t="s">
        <v>490</v>
      </c>
      <c r="E194" s="274" t="s">
        <v>230</v>
      </c>
      <c r="F194" s="274" t="s">
        <v>491</v>
      </c>
      <c r="G194" s="274" t="s">
        <v>230</v>
      </c>
      <c r="H194" s="274" t="s">
        <v>492</v>
      </c>
      <c r="I194" s="274" t="s">
        <v>717</v>
      </c>
      <c r="J194" s="274" t="s">
        <v>716</v>
      </c>
      <c r="K194" s="274" t="s">
        <v>717</v>
      </c>
      <c r="L194" s="300">
        <v>208156</v>
      </c>
      <c r="M194" s="274" t="s">
        <v>231</v>
      </c>
      <c r="N194" s="274" t="s">
        <v>386</v>
      </c>
      <c r="O194" s="284">
        <v>98.115809999999996</v>
      </c>
      <c r="P194" s="284">
        <v>24.08738</v>
      </c>
      <c r="Q194" s="302"/>
      <c r="R194" s="415">
        <v>32</v>
      </c>
      <c r="S194" s="416">
        <v>187</v>
      </c>
      <c r="T194" s="287">
        <f>IF(CampList[[#This Row],[HH]]&gt;0,CampList[[#This Row],[Total]]/CampList[[#This Row],[HH]],"NA")</f>
        <v>5.84375</v>
      </c>
      <c r="U194" s="276" t="s">
        <v>465</v>
      </c>
      <c r="V194" s="276" t="s">
        <v>1013</v>
      </c>
      <c r="W194" s="276" t="s">
        <v>12</v>
      </c>
      <c r="X194" s="276" t="s">
        <v>786</v>
      </c>
      <c r="Y194" s="303"/>
      <c r="Z194" s="289"/>
      <c r="AA194" s="308" t="s">
        <v>523</v>
      </c>
      <c r="AB194" s="290">
        <v>42888</v>
      </c>
      <c r="AC194" s="290"/>
      <c r="AD194" s="283" t="s">
        <v>1279</v>
      </c>
      <c r="AE194" s="276" t="str">
        <f ca="1">IFERROR(OFFSET(DistanceToCamp[Nearest Town],MATCH(CampList[[#This Row],[CP_Pcode]],DistanceToCamp[CP_Pcode],0)-1,0,1,1),"")</f>
        <v>Pang Hseng (Kyu Koke) Town</v>
      </c>
      <c r="AF194" s="292">
        <f ca="1">IFERROR(OFFSET(DistanceToCamp[distance],MATCH(CampList[[#This Row],[CP_Pcode]],DistanceToCamp[CP_Pcode],0)-1,0,1,1),"")</f>
        <v>5.5919136174199959</v>
      </c>
      <c r="AG194" s="293">
        <f ca="1">IFERROR(INT(CampList[[#This Row],[Distance]]/5)+1,"")</f>
        <v>2</v>
      </c>
      <c r="AI194" s="489"/>
      <c r="AJ194" s="489"/>
    </row>
    <row r="195" spans="2:36" s="203" customFormat="1" ht="15.75" hidden="1" customHeight="1" x14ac:dyDescent="0.25">
      <c r="B195" s="283" t="s">
        <v>777</v>
      </c>
      <c r="C195" s="274" t="s">
        <v>378</v>
      </c>
      <c r="D195" s="274" t="s">
        <v>479</v>
      </c>
      <c r="E195" s="274" t="s">
        <v>5</v>
      </c>
      <c r="F195" s="274" t="s">
        <v>483</v>
      </c>
      <c r="G195" s="274" t="s">
        <v>151</v>
      </c>
      <c r="H195" s="274" t="s">
        <v>493</v>
      </c>
      <c r="I195" s="291" t="s">
        <v>569</v>
      </c>
      <c r="J195" s="291" t="s">
        <v>570</v>
      </c>
      <c r="K195" s="291"/>
      <c r="L195" s="291"/>
      <c r="M195" s="274" t="s">
        <v>793</v>
      </c>
      <c r="N195" s="274" t="s">
        <v>474</v>
      </c>
      <c r="O195" s="284">
        <v>97.132339999999999</v>
      </c>
      <c r="P195" s="284">
        <v>23.75817</v>
      </c>
      <c r="Q195" s="285">
        <v>781.8</v>
      </c>
      <c r="R195" s="376">
        <v>0</v>
      </c>
      <c r="S195" s="377">
        <v>0</v>
      </c>
      <c r="T195" s="287" t="str">
        <f>IF(CampList[[#This Row],[HH]]&gt;0,CampList[[#This Row],[Total]]/CampList[[#This Row],[HH]],"NA")</f>
        <v>NA</v>
      </c>
      <c r="U195" s="276" t="s">
        <v>467</v>
      </c>
      <c r="V195" s="294" t="s">
        <v>1013</v>
      </c>
      <c r="W195" s="276" t="s">
        <v>508</v>
      </c>
      <c r="X195" s="294" t="s">
        <v>786</v>
      </c>
      <c r="Y195" s="295">
        <v>41091</v>
      </c>
      <c r="Z195" s="295"/>
      <c r="AA195" s="308" t="s">
        <v>776</v>
      </c>
      <c r="AB195" s="314"/>
      <c r="AC195" s="314"/>
      <c r="AD195" s="283" t="s">
        <v>846</v>
      </c>
      <c r="AE195" s="276" t="str">
        <f ca="1">IFERROR(OFFSET(DistanceToCamp[Nearest Town],MATCH(CampList[[#This Row],[CP_Pcode]],DistanceToCamp[CP_Pcode],0)-1,0,1,1),"")</f>
        <v/>
      </c>
      <c r="AF195" s="292" t="str">
        <f ca="1">IFERROR(OFFSET(DistanceToCamp[distance],MATCH(CampList[[#This Row],[CP_Pcode]],DistanceToCamp[CP_Pcode],0)-1,0,1,1),"")</f>
        <v/>
      </c>
      <c r="AG195" s="293" t="str">
        <f ca="1">IFERROR(INT(CampList[[#This Row],[Distance]]/5)+1,"")</f>
        <v/>
      </c>
      <c r="AI195" s="489"/>
      <c r="AJ195" s="489"/>
    </row>
    <row r="196" spans="2:36" s="203" customFormat="1" ht="15.75" customHeight="1" x14ac:dyDescent="0.25">
      <c r="B196" s="283" t="s">
        <v>460</v>
      </c>
      <c r="C196" s="274" t="s">
        <v>378</v>
      </c>
      <c r="D196" s="274" t="s">
        <v>479</v>
      </c>
      <c r="E196" s="274" t="s">
        <v>5</v>
      </c>
      <c r="F196" s="274" t="s">
        <v>483</v>
      </c>
      <c r="G196" s="274" t="s">
        <v>151</v>
      </c>
      <c r="H196" s="274" t="s">
        <v>493</v>
      </c>
      <c r="I196" s="274" t="s">
        <v>813</v>
      </c>
      <c r="J196" s="274" t="s">
        <v>1136</v>
      </c>
      <c r="K196" s="274" t="s">
        <v>813</v>
      </c>
      <c r="L196" s="274">
        <v>167301</v>
      </c>
      <c r="M196" s="274" t="s">
        <v>851</v>
      </c>
      <c r="N196" s="274" t="s">
        <v>850</v>
      </c>
      <c r="O196" s="284">
        <v>97.227057000000002</v>
      </c>
      <c r="P196" s="284">
        <v>23.976571</v>
      </c>
      <c r="Q196" s="302">
        <v>478</v>
      </c>
      <c r="R196" s="417">
        <v>173</v>
      </c>
      <c r="S196" s="417">
        <v>780</v>
      </c>
      <c r="T196" s="287">
        <f>IF(CampList[[#This Row],[HH]]&gt;0,CampList[[#This Row],[Total]]/CampList[[#This Row],[HH]],"NA")</f>
        <v>4.5086705202312141</v>
      </c>
      <c r="U196" s="276" t="s">
        <v>465</v>
      </c>
      <c r="V196" s="276" t="s">
        <v>1013</v>
      </c>
      <c r="W196" s="276" t="s">
        <v>508</v>
      </c>
      <c r="X196" s="276" t="s">
        <v>786</v>
      </c>
      <c r="Y196" s="421">
        <v>41548</v>
      </c>
      <c r="Z196" s="288" t="s">
        <v>942</v>
      </c>
      <c r="AA196" s="274" t="s">
        <v>776</v>
      </c>
      <c r="AB196" s="290">
        <v>43008</v>
      </c>
      <c r="AC196" s="290"/>
      <c r="AD196" s="291" t="s">
        <v>1312</v>
      </c>
      <c r="AE196" s="276" t="str">
        <f ca="1">IFERROR(OFFSET(DistanceToCamp[Nearest Town],MATCH(CampList[[#This Row],[CP_Pcode]],DistanceToCamp[CP_Pcode],0)-1,0,1,1),"")</f>
        <v>Kamaing Town</v>
      </c>
      <c r="AF196" s="292">
        <f ca="1">IFERROR(OFFSET(DistanceToCamp[distance],MATCH(CampList[[#This Row],[CP_Pcode]],DistanceToCamp[CP_Pcode],0)-1,0,1,1),"")</f>
        <v>12.257552920582597</v>
      </c>
      <c r="AG196" s="293">
        <f ca="1">IFERROR(INT(CampList[[#This Row],[Distance]]/5)+1,"")</f>
        <v>3</v>
      </c>
      <c r="AI196" s="489"/>
      <c r="AJ196" s="489"/>
    </row>
    <row r="197" spans="2:36" s="203" customFormat="1" ht="15.75" hidden="1" customHeight="1" x14ac:dyDescent="0.25">
      <c r="B197" s="283" t="s">
        <v>777</v>
      </c>
      <c r="C197" s="274" t="s">
        <v>378</v>
      </c>
      <c r="D197" s="274" t="s">
        <v>479</v>
      </c>
      <c r="E197" s="274" t="s">
        <v>5</v>
      </c>
      <c r="F197" s="274" t="s">
        <v>483</v>
      </c>
      <c r="G197" s="274" t="s">
        <v>151</v>
      </c>
      <c r="H197" s="274" t="s">
        <v>493</v>
      </c>
      <c r="I197" s="291" t="s">
        <v>569</v>
      </c>
      <c r="J197" s="291" t="s">
        <v>570</v>
      </c>
      <c r="K197" s="274"/>
      <c r="L197" s="298"/>
      <c r="M197" s="274" t="s">
        <v>794</v>
      </c>
      <c r="N197" s="274" t="s">
        <v>795</v>
      </c>
      <c r="O197" s="284"/>
      <c r="P197" s="284"/>
      <c r="Q197" s="302"/>
      <c r="R197" s="376">
        <v>0</v>
      </c>
      <c r="S197" s="377">
        <v>0</v>
      </c>
      <c r="T197" s="287" t="str">
        <f>IF(CampList[[#This Row],[HH]]&gt;0,CampList[[#This Row],[Total]]/CampList[[#This Row],[HH]],"NA")</f>
        <v>NA</v>
      </c>
      <c r="U197" s="276" t="s">
        <v>467</v>
      </c>
      <c r="V197" s="294" t="s">
        <v>1013</v>
      </c>
      <c r="W197" s="276" t="s">
        <v>508</v>
      </c>
      <c r="X197" s="276"/>
      <c r="Y197" s="303"/>
      <c r="Z197" s="289"/>
      <c r="AA197" s="308" t="s">
        <v>776</v>
      </c>
      <c r="AB197" s="314"/>
      <c r="AC197" s="314"/>
      <c r="AD197" s="283" t="s">
        <v>846</v>
      </c>
      <c r="AE197" s="276" t="str">
        <f ca="1">IFERROR(OFFSET(DistanceToCamp[Nearest Town],MATCH(CampList[[#This Row],[CP_Pcode]],DistanceToCamp[CP_Pcode],0)-1,0,1,1),"")</f>
        <v/>
      </c>
      <c r="AF197" s="292" t="str">
        <f ca="1">IFERROR(OFFSET(DistanceToCamp[distance],MATCH(CampList[[#This Row],[CP_Pcode]],DistanceToCamp[CP_Pcode],0)-1,0,1,1),"")</f>
        <v/>
      </c>
      <c r="AG197" s="293" t="str">
        <f ca="1">IFERROR(INT(CampList[[#This Row],[Distance]]/5)+1,"")</f>
        <v/>
      </c>
      <c r="AI197" s="489"/>
      <c r="AJ197" s="489"/>
    </row>
    <row r="198" spans="2:36" s="203" customFormat="1" ht="15.75" customHeight="1" x14ac:dyDescent="0.25">
      <c r="B198" s="299" t="s">
        <v>460</v>
      </c>
      <c r="C198" s="275" t="s">
        <v>378</v>
      </c>
      <c r="D198" s="275" t="s">
        <v>479</v>
      </c>
      <c r="E198" s="275" t="s">
        <v>237</v>
      </c>
      <c r="F198" s="275" t="s">
        <v>485</v>
      </c>
      <c r="G198" s="275" t="s">
        <v>27</v>
      </c>
      <c r="H198" s="275" t="s">
        <v>488</v>
      </c>
      <c r="I198" s="275" t="s">
        <v>731</v>
      </c>
      <c r="J198" s="300" t="s">
        <v>730</v>
      </c>
      <c r="K198" s="275" t="s">
        <v>879</v>
      </c>
      <c r="L198" s="275"/>
      <c r="M198" s="275" t="s">
        <v>879</v>
      </c>
      <c r="N198" s="275" t="s">
        <v>880</v>
      </c>
      <c r="O198" s="286">
        <v>98.356260000000006</v>
      </c>
      <c r="P198" s="286">
        <v>25.645959999999999</v>
      </c>
      <c r="Q198" s="302">
        <v>1945</v>
      </c>
      <c r="R198" s="414">
        <v>30</v>
      </c>
      <c r="S198" s="653">
        <v>173</v>
      </c>
      <c r="T198" s="287">
        <f>IF(CampList[[#This Row],[HH]]&gt;0,CampList[[#This Row],[Total]]/CampList[[#This Row],[HH]],"NA")</f>
        <v>5.7666666666666666</v>
      </c>
      <c r="U198" s="224" t="s">
        <v>465</v>
      </c>
      <c r="V198" s="276" t="s">
        <v>1013</v>
      </c>
      <c r="W198" s="224" t="s">
        <v>508</v>
      </c>
      <c r="X198" s="224" t="s">
        <v>743</v>
      </c>
      <c r="Y198" s="422">
        <v>41091</v>
      </c>
      <c r="Z198" s="302" t="s">
        <v>943</v>
      </c>
      <c r="AA198" s="275" t="s">
        <v>776</v>
      </c>
      <c r="AB198" s="290">
        <v>43008</v>
      </c>
      <c r="AC198" s="290"/>
      <c r="AD198" s="304" t="s">
        <v>1330</v>
      </c>
      <c r="AE198" s="305" t="str">
        <f ca="1">IFERROR(OFFSET(DistanceToCamp[Nearest Town],MATCH(CampList[[#This Row],[CP_Pcode]],DistanceToCamp[CP_Pcode],0)-1,0,1,1),"")</f>
        <v>Naypyitaw Town</v>
      </c>
      <c r="AF198" s="292">
        <f ca="1">IFERROR(OFFSET(DistanceToCamp[distance],MATCH(CampList[[#This Row],[CP_Pcode]],DistanceToCamp[CP_Pcode],0)-1,0,1,1),"")</f>
        <v>0</v>
      </c>
      <c r="AG198" s="306">
        <f ca="1">IFERROR(INT(CampList[[#This Row],[Distance]]/5)+1,"")</f>
        <v>1</v>
      </c>
      <c r="AI198" s="489"/>
      <c r="AJ198" s="489"/>
    </row>
    <row r="199" spans="2:36" s="203" customFormat="1" ht="15.75" hidden="1" customHeight="1" x14ac:dyDescent="0.25">
      <c r="B199" s="283" t="s">
        <v>777</v>
      </c>
      <c r="C199" s="274" t="s">
        <v>378</v>
      </c>
      <c r="D199" s="274" t="s">
        <v>479</v>
      </c>
      <c r="E199" s="274" t="s">
        <v>5</v>
      </c>
      <c r="F199" s="274" t="s">
        <v>483</v>
      </c>
      <c r="G199" s="274" t="s">
        <v>151</v>
      </c>
      <c r="H199" s="274" t="s">
        <v>493</v>
      </c>
      <c r="I199" s="291" t="s">
        <v>569</v>
      </c>
      <c r="J199" s="291" t="s">
        <v>570</v>
      </c>
      <c r="K199" s="291"/>
      <c r="L199" s="291"/>
      <c r="M199" s="274" t="s">
        <v>164</v>
      </c>
      <c r="N199" s="274" t="s">
        <v>163</v>
      </c>
      <c r="O199" s="284">
        <v>97.132339999999999</v>
      </c>
      <c r="P199" s="284">
        <v>23.75817</v>
      </c>
      <c r="Q199" s="302"/>
      <c r="R199" s="376">
        <v>0</v>
      </c>
      <c r="S199" s="377">
        <v>0</v>
      </c>
      <c r="T199" s="287" t="str">
        <f>IF(CampList[[#This Row],[HH]]&gt;0,CampList[[#This Row],[Total]]/CampList[[#This Row],[HH]],"NA")</f>
        <v>NA</v>
      </c>
      <c r="U199" s="276" t="s">
        <v>467</v>
      </c>
      <c r="V199" s="294" t="s">
        <v>1013</v>
      </c>
      <c r="W199" s="276" t="s">
        <v>508</v>
      </c>
      <c r="X199" s="294"/>
      <c r="Y199" s="310"/>
      <c r="Z199" s="311"/>
      <c r="AA199" s="308" t="s">
        <v>523</v>
      </c>
      <c r="AB199" s="314"/>
      <c r="AC199" s="314"/>
      <c r="AD199" s="283" t="s">
        <v>779</v>
      </c>
      <c r="AE199" s="276" t="str">
        <f ca="1">IFERROR(OFFSET(DistanceToCamp[Nearest Town],MATCH(CampList[[#This Row],[CP_Pcode]],DistanceToCamp[CP_Pcode],0)-1,0,1,1),"")</f>
        <v/>
      </c>
      <c r="AF199" s="292" t="str">
        <f ca="1">IFERROR(OFFSET(DistanceToCamp[distance],MATCH(CampList[[#This Row],[CP_Pcode]],DistanceToCamp[CP_Pcode],0)-1,0,1,1),"")</f>
        <v/>
      </c>
      <c r="AG199" s="293" t="str">
        <f ca="1">IFERROR(INT(CampList[[#This Row],[Distance]]/5)+1,"")</f>
        <v/>
      </c>
      <c r="AI199" s="489"/>
      <c r="AJ199" s="489"/>
    </row>
    <row r="200" spans="2:36" s="203" customFormat="1" ht="15.75" customHeight="1" x14ac:dyDescent="0.25">
      <c r="B200" s="283" t="s">
        <v>460</v>
      </c>
      <c r="C200" s="274" t="s">
        <v>378</v>
      </c>
      <c r="D200" s="274" t="s">
        <v>479</v>
      </c>
      <c r="E200" s="274" t="s">
        <v>299</v>
      </c>
      <c r="F200" s="274" t="s">
        <v>500</v>
      </c>
      <c r="G200" s="274" t="s">
        <v>299</v>
      </c>
      <c r="H200" s="274" t="s">
        <v>506</v>
      </c>
      <c r="I200" s="274" t="s">
        <v>887</v>
      </c>
      <c r="J200" s="274" t="s">
        <v>888</v>
      </c>
      <c r="K200" s="274" t="s">
        <v>895</v>
      </c>
      <c r="L200" s="274">
        <v>217032</v>
      </c>
      <c r="M200" s="274" t="s">
        <v>896</v>
      </c>
      <c r="N200" s="274" t="s">
        <v>897</v>
      </c>
      <c r="O200" s="286">
        <v>97.561105999999995</v>
      </c>
      <c r="P200" s="286">
        <v>27.248964999999998</v>
      </c>
      <c r="Q200" s="302">
        <v>398</v>
      </c>
      <c r="R200" s="286">
        <v>10</v>
      </c>
      <c r="S200" s="302">
        <v>56</v>
      </c>
      <c r="T200" s="287">
        <f>IF(CampList[[#This Row],[HH]]&gt;0,CampList[[#This Row],[Total]]/CampList[[#This Row],[HH]],"NA")</f>
        <v>5.6</v>
      </c>
      <c r="U200" s="276" t="s">
        <v>465</v>
      </c>
      <c r="V200" s="276" t="s">
        <v>1013</v>
      </c>
      <c r="W200" s="276" t="s">
        <v>12</v>
      </c>
      <c r="X200" s="276" t="s">
        <v>786</v>
      </c>
      <c r="Y200" s="422">
        <v>41487</v>
      </c>
      <c r="Z200" s="289"/>
      <c r="AA200" s="274" t="s">
        <v>776</v>
      </c>
      <c r="AB200" s="290">
        <v>41736</v>
      </c>
      <c r="AC200" s="290">
        <v>42927</v>
      </c>
      <c r="AD200" s="291" t="s">
        <v>1581</v>
      </c>
      <c r="AE200" s="276" t="str">
        <f ca="1">IFERROR(OFFSET(DistanceToCamp[Nearest Town],MATCH(CampList[[#This Row],[CP_Pcode]],DistanceToCamp[CP_Pcode],0)-1,0,1,1),"")</f>
        <v>Machanbaw Town</v>
      </c>
      <c r="AF200" s="292">
        <f ca="1">IFERROR(OFFSET(DistanceToCamp[distance],MATCH(CampList[[#This Row],[CP_Pcode]],DistanceToCamp[CP_Pcode],0)-1,0,1,1),"")</f>
        <v>4.789460146835963</v>
      </c>
      <c r="AG200" s="293">
        <f ca="1">IFERROR(INT(CampList[[#This Row],[Distance]]/5)+1,"")</f>
        <v>1</v>
      </c>
      <c r="AI200" s="489"/>
      <c r="AJ200" s="489"/>
    </row>
    <row r="201" spans="2:36" s="203" customFormat="1" ht="15.75" customHeight="1" x14ac:dyDescent="0.25">
      <c r="B201" s="299" t="s">
        <v>460</v>
      </c>
      <c r="C201" s="275" t="s">
        <v>378</v>
      </c>
      <c r="D201" s="275" t="s">
        <v>479</v>
      </c>
      <c r="E201" s="275" t="s">
        <v>5</v>
      </c>
      <c r="F201" s="275" t="s">
        <v>483</v>
      </c>
      <c r="G201" s="275" t="s">
        <v>151</v>
      </c>
      <c r="H201" s="275" t="s">
        <v>493</v>
      </c>
      <c r="I201" s="275" t="s">
        <v>601</v>
      </c>
      <c r="J201" s="300" t="s">
        <v>602</v>
      </c>
      <c r="K201" s="291" t="s">
        <v>601</v>
      </c>
      <c r="L201" s="307">
        <v>167405</v>
      </c>
      <c r="M201" s="275" t="s">
        <v>915</v>
      </c>
      <c r="N201" s="275" t="s">
        <v>916</v>
      </c>
      <c r="O201" s="286">
        <v>97.578367</v>
      </c>
      <c r="P201" s="286">
        <v>23.833477999999999</v>
      </c>
      <c r="Q201" s="302">
        <v>925</v>
      </c>
      <c r="R201" s="417">
        <v>143</v>
      </c>
      <c r="S201" s="417">
        <v>638</v>
      </c>
      <c r="T201" s="287">
        <f>IF(CampList[[#This Row],[HH]]&gt;0,CampList[[#This Row],[Total]]/CampList[[#This Row],[HH]],"NA")</f>
        <v>4.4615384615384617</v>
      </c>
      <c r="U201" s="224" t="s">
        <v>465</v>
      </c>
      <c r="V201" s="276" t="s">
        <v>1013</v>
      </c>
      <c r="W201" s="224" t="s">
        <v>508</v>
      </c>
      <c r="X201" s="224" t="s">
        <v>786</v>
      </c>
      <c r="Y201" s="422">
        <v>41791</v>
      </c>
      <c r="Z201" s="302" t="s">
        <v>942</v>
      </c>
      <c r="AA201" s="275" t="s">
        <v>776</v>
      </c>
      <c r="AB201" s="290">
        <v>43008</v>
      </c>
      <c r="AC201" s="290"/>
      <c r="AD201" s="304" t="s">
        <v>1313</v>
      </c>
      <c r="AE201" s="305" t="str">
        <f ca="1">IFERROR(OFFSET(DistanceToCamp[Nearest Town],MATCH(CampList[[#This Row],[CP_Pcode]],DistanceToCamp[CP_Pcode],0)-1,0,1,1),"")</f>
        <v>Namhkan Town</v>
      </c>
      <c r="AF201" s="292">
        <f ca="1">IFERROR(OFFSET(DistanceToCamp[distance],MATCH(CampList[[#This Row],[CP_Pcode]],DistanceToCamp[CP_Pcode],0)-1,0,1,1),"")</f>
        <v>10.527586947557506</v>
      </c>
      <c r="AG201" s="306">
        <f ca="1">IFERROR(INT(CampList[[#This Row],[Distance]]/5)+1,"")</f>
        <v>3</v>
      </c>
      <c r="AI201" s="489"/>
      <c r="AJ201" s="489"/>
    </row>
    <row r="202" spans="2:36" s="203" customFormat="1" ht="15.75" customHeight="1" x14ac:dyDescent="0.25">
      <c r="B202" s="283" t="s">
        <v>460</v>
      </c>
      <c r="C202" s="274" t="s">
        <v>378</v>
      </c>
      <c r="D202" s="274" t="s">
        <v>479</v>
      </c>
      <c r="E202" s="274" t="s">
        <v>180</v>
      </c>
      <c r="F202" s="274" t="s">
        <v>480</v>
      </c>
      <c r="G202" s="274" t="s">
        <v>481</v>
      </c>
      <c r="H202" s="274" t="s">
        <v>482</v>
      </c>
      <c r="I202" s="291" t="s">
        <v>550</v>
      </c>
      <c r="J202" s="291" t="s">
        <v>551</v>
      </c>
      <c r="K202" s="291" t="s">
        <v>550</v>
      </c>
      <c r="L202" s="291">
        <v>166776</v>
      </c>
      <c r="M202" s="274" t="s">
        <v>919</v>
      </c>
      <c r="N202" s="274" t="s">
        <v>920</v>
      </c>
      <c r="O202" s="284">
        <v>96.312790000000007</v>
      </c>
      <c r="P202" s="284">
        <v>25.611160000000002</v>
      </c>
      <c r="Q202" s="302"/>
      <c r="R202" s="414">
        <v>103</v>
      </c>
      <c r="S202" s="653">
        <v>498</v>
      </c>
      <c r="T202" s="287">
        <f>IF(CampList[[#This Row],[HH]]&gt;0,CampList[[#This Row],[Total]]/CampList[[#This Row],[HH]],"NA")</f>
        <v>4.8349514563106792</v>
      </c>
      <c r="U202" s="276" t="s">
        <v>465</v>
      </c>
      <c r="V202" s="276" t="s">
        <v>1013</v>
      </c>
      <c r="W202" s="276" t="s">
        <v>508</v>
      </c>
      <c r="X202" s="276" t="s">
        <v>743</v>
      </c>
      <c r="Y202" s="422">
        <v>41122</v>
      </c>
      <c r="Z202" s="289" t="s">
        <v>424</v>
      </c>
      <c r="AA202" s="274" t="s">
        <v>776</v>
      </c>
      <c r="AB202" s="290">
        <v>43008</v>
      </c>
      <c r="AC202" s="290"/>
      <c r="AD202" s="291" t="s">
        <v>1396</v>
      </c>
      <c r="AE202" s="276" t="str">
        <f ca="1">IFERROR(OFFSET(DistanceToCamp[Nearest Town],MATCH(CampList[[#This Row],[CP_Pcode]],DistanceToCamp[CP_Pcode],0)-1,0,1,1),"")</f>
        <v>Hpakant Town</v>
      </c>
      <c r="AF202" s="292">
        <f ca="1">IFERROR(OFFSET(DistanceToCamp[distance],MATCH(CampList[[#This Row],[CP_Pcode]],DistanceToCamp[CP_Pcode],0)-1,0,1,1),"")</f>
        <v>0.19374952337076978</v>
      </c>
      <c r="AG202" s="306">
        <f ca="1">IFERROR(INT(CampList[[#This Row],[Distance]]/5)+1,"")</f>
        <v>1</v>
      </c>
      <c r="AI202" s="489"/>
      <c r="AJ202" s="489"/>
    </row>
    <row r="203" spans="2:36" s="203" customFormat="1" ht="15.75" customHeight="1" x14ac:dyDescent="0.25">
      <c r="B203" s="283" t="s">
        <v>460</v>
      </c>
      <c r="C203" s="274" t="s">
        <v>378</v>
      </c>
      <c r="D203" s="274" t="s">
        <v>479</v>
      </c>
      <c r="E203" s="274" t="s">
        <v>5</v>
      </c>
      <c r="F203" s="274" t="s">
        <v>483</v>
      </c>
      <c r="G203" s="274" t="s">
        <v>151</v>
      </c>
      <c r="H203" s="274" t="s">
        <v>493</v>
      </c>
      <c r="I203" s="274" t="s">
        <v>601</v>
      </c>
      <c r="J203" s="274" t="s">
        <v>602</v>
      </c>
      <c r="K203" s="274" t="s">
        <v>601</v>
      </c>
      <c r="L203" s="274">
        <v>167405</v>
      </c>
      <c r="M203" s="274" t="s">
        <v>946</v>
      </c>
      <c r="N203" s="274" t="s">
        <v>947</v>
      </c>
      <c r="O203" s="286">
        <v>97.590767</v>
      </c>
      <c r="P203" s="286">
        <v>23.829599000000002</v>
      </c>
      <c r="Q203" s="302"/>
      <c r="R203" s="654">
        <v>115</v>
      </c>
      <c r="S203" s="654">
        <v>538</v>
      </c>
      <c r="T203" s="287">
        <f>IF(CampList[[#This Row],[HH]]&gt;0,CampList[[#This Row],[Total]]/CampList[[#This Row],[HH]],"NA")</f>
        <v>4.678260869565217</v>
      </c>
      <c r="U203" s="276" t="s">
        <v>465</v>
      </c>
      <c r="V203" s="276" t="s">
        <v>1013</v>
      </c>
      <c r="W203" s="276" t="s">
        <v>508</v>
      </c>
      <c r="X203" s="276" t="s">
        <v>786</v>
      </c>
      <c r="Y203" s="422">
        <v>41730</v>
      </c>
      <c r="Z203" s="289" t="s">
        <v>424</v>
      </c>
      <c r="AA203" s="274" t="s">
        <v>776</v>
      </c>
      <c r="AB203" s="290">
        <v>43008</v>
      </c>
      <c r="AC203" s="290"/>
      <c r="AD203" s="291" t="s">
        <v>1397</v>
      </c>
      <c r="AE203" s="276" t="str">
        <f ca="1">IFERROR(OFFSET(DistanceToCamp[Nearest Town],MATCH(CampList[[#This Row],[CP_Pcode]],DistanceToCamp[CP_Pcode],0)-1,0,1,1),"")</f>
        <v>Namhkan Town</v>
      </c>
      <c r="AF203" s="292">
        <f ca="1">IFERROR(OFFSET(DistanceToCamp[distance],MATCH(CampList[[#This Row],[CP_Pcode]],DistanceToCamp[CP_Pcode],0)-1,0,1,1),"")</f>
        <v>9.2957189123335944</v>
      </c>
      <c r="AG203" s="306">
        <f ca="1">IFERROR(INT(CampList[[#This Row],[Distance]]/5)+1,"")</f>
        <v>2</v>
      </c>
      <c r="AI203" s="489"/>
      <c r="AJ203" s="489"/>
    </row>
    <row r="204" spans="2:36" s="420" customFormat="1" ht="15.75" hidden="1" customHeight="1" x14ac:dyDescent="0.25">
      <c r="B204" s="445" t="s">
        <v>777</v>
      </c>
      <c r="C204" s="424" t="s">
        <v>378</v>
      </c>
      <c r="D204" s="424" t="s">
        <v>479</v>
      </c>
      <c r="E204" s="424" t="s">
        <v>180</v>
      </c>
      <c r="F204" s="424" t="s">
        <v>480</v>
      </c>
      <c r="G204" s="424" t="s">
        <v>481</v>
      </c>
      <c r="H204" s="424" t="s">
        <v>482</v>
      </c>
      <c r="I204" s="424" t="s">
        <v>553</v>
      </c>
      <c r="J204" s="424" t="s">
        <v>554</v>
      </c>
      <c r="K204" s="424" t="s">
        <v>701</v>
      </c>
      <c r="L204" s="424">
        <v>216877</v>
      </c>
      <c r="M204" s="424" t="s">
        <v>964</v>
      </c>
      <c r="N204" s="424" t="s">
        <v>965</v>
      </c>
      <c r="O204" s="459">
        <v>96.637</v>
      </c>
      <c r="P204" s="459">
        <v>25.806999999999999</v>
      </c>
      <c r="Q204" s="460"/>
      <c r="R204" s="449"/>
      <c r="S204" s="449"/>
      <c r="T204" s="450" t="str">
        <f>IF(CampList[[#This Row],[HH]]&gt;0,CampList[[#This Row],[Total]]/CampList[[#This Row],[HH]],"NA")</f>
        <v>NA</v>
      </c>
      <c r="U204" s="451" t="s">
        <v>465</v>
      </c>
      <c r="V204" s="451" t="s">
        <v>1013</v>
      </c>
      <c r="W204" s="451" t="s">
        <v>508</v>
      </c>
      <c r="X204" s="451" t="s">
        <v>786</v>
      </c>
      <c r="Y204" s="452">
        <v>42019</v>
      </c>
      <c r="Z204" s="455" t="s">
        <v>424</v>
      </c>
      <c r="AA204" s="424" t="s">
        <v>776</v>
      </c>
      <c r="AB204" s="456">
        <v>42919</v>
      </c>
      <c r="AC204" s="456"/>
      <c r="AD204" s="446" t="s">
        <v>1420</v>
      </c>
      <c r="AE204" s="451" t="str">
        <f ca="1">IFERROR(OFFSET(DistanceToCamp[Nearest Town],MATCH(CampList[[#This Row],[CP_Pcode]],DistanceToCamp[CP_Pcode],0)-1,0,1,1),"")</f>
        <v>Hpakant Town</v>
      </c>
      <c r="AF204" s="457">
        <f ca="1">IFERROR(OFFSET(DistanceToCamp[distance],MATCH(CampList[[#This Row],[CP_Pcode]],DistanceToCamp[CP_Pcode],0)-1,0,1,1),"")</f>
        <v>10</v>
      </c>
      <c r="AG204" s="461">
        <f ca="1">IFERROR(INT(CampList[[#This Row],[Distance]]/5)+1,"")</f>
        <v>3</v>
      </c>
      <c r="AI204" s="494"/>
      <c r="AJ204" s="494"/>
    </row>
    <row r="205" spans="2:36" s="203" customFormat="1" ht="15.75" customHeight="1" x14ac:dyDescent="0.25">
      <c r="B205" s="283" t="s">
        <v>460</v>
      </c>
      <c r="C205" s="274" t="s">
        <v>378</v>
      </c>
      <c r="D205" s="274" t="s">
        <v>479</v>
      </c>
      <c r="E205" s="274" t="s">
        <v>180</v>
      </c>
      <c r="F205" s="274" t="s">
        <v>480</v>
      </c>
      <c r="G205" s="274" t="s">
        <v>180</v>
      </c>
      <c r="H205" s="274" t="s">
        <v>505</v>
      </c>
      <c r="I205" s="274" t="s">
        <v>1025</v>
      </c>
      <c r="J205" s="274" t="s">
        <v>1138</v>
      </c>
      <c r="K205" s="274" t="s">
        <v>1139</v>
      </c>
      <c r="L205" s="274" t="s">
        <v>1140</v>
      </c>
      <c r="M205" s="274" t="s">
        <v>993</v>
      </c>
      <c r="N205" s="274" t="s">
        <v>995</v>
      </c>
      <c r="O205" s="286">
        <v>96.52534</v>
      </c>
      <c r="P205" s="286">
        <v>24.996279999999999</v>
      </c>
      <c r="Q205" s="302"/>
      <c r="R205" s="656">
        <v>27</v>
      </c>
      <c r="S205" s="657">
        <v>121</v>
      </c>
      <c r="T205" s="287">
        <f>IF(CampList[[#This Row],[HH]]&gt;0,CampList[[#This Row],[Total]]/CampList[[#This Row],[HH]],"NA")</f>
        <v>4.4814814814814818</v>
      </c>
      <c r="U205" s="276" t="s">
        <v>465</v>
      </c>
      <c r="V205" s="276" t="s">
        <v>1013</v>
      </c>
      <c r="W205" s="315" t="s">
        <v>12</v>
      </c>
      <c r="X205" s="276" t="s">
        <v>743</v>
      </c>
      <c r="Y205" s="422">
        <v>41275</v>
      </c>
      <c r="Z205" s="289"/>
      <c r="AA205" s="274" t="s">
        <v>776</v>
      </c>
      <c r="AB205" s="290">
        <v>42849</v>
      </c>
      <c r="AC205" s="290"/>
      <c r="AD205" s="291" t="s">
        <v>1266</v>
      </c>
      <c r="AE205" s="276" t="str">
        <f ca="1">IFERROR(OFFSET(DistanceToCamp[Nearest Town],MATCH(CampList[[#This Row],[CP_Pcode]],DistanceToCamp[CP_Pcode],0)-1,0,1,1),"")</f>
        <v>Hopin Town</v>
      </c>
      <c r="AF205" s="292">
        <f ca="1">IFERROR(OFFSET(DistanceToCamp[distance],MATCH(CampList[[#This Row],[CP_Pcode]],DistanceToCamp[CP_Pcode],0)-1,0,1,1),"")</f>
        <v>0</v>
      </c>
      <c r="AG205" s="293">
        <f ca="1">IFERROR(INT(CampList[[#This Row],[Distance]]/5)+1,"")</f>
        <v>1</v>
      </c>
      <c r="AI205" s="489"/>
      <c r="AJ205" s="489"/>
    </row>
    <row r="206" spans="2:36" s="203" customFormat="1" ht="15.75" customHeight="1" x14ac:dyDescent="0.25">
      <c r="B206" s="283" t="s">
        <v>460</v>
      </c>
      <c r="C206" s="274" t="s">
        <v>378</v>
      </c>
      <c r="D206" s="274" t="s">
        <v>479</v>
      </c>
      <c r="E206" s="274" t="s">
        <v>180</v>
      </c>
      <c r="F206" s="274" t="s">
        <v>480</v>
      </c>
      <c r="G206" s="274" t="s">
        <v>180</v>
      </c>
      <c r="H206" s="274" t="s">
        <v>505</v>
      </c>
      <c r="I206" s="274" t="s">
        <v>968</v>
      </c>
      <c r="J206" s="274" t="s">
        <v>1056</v>
      </c>
      <c r="K206" s="274"/>
      <c r="L206" s="274"/>
      <c r="M206" s="274" t="s">
        <v>994</v>
      </c>
      <c r="N206" s="274" t="s">
        <v>996</v>
      </c>
      <c r="O206" s="286">
        <v>96.366919999999993</v>
      </c>
      <c r="P206" s="286">
        <v>24.764959999999999</v>
      </c>
      <c r="Q206" s="302"/>
      <c r="R206" s="286">
        <v>14</v>
      </c>
      <c r="S206" s="657">
        <v>63</v>
      </c>
      <c r="T206" s="287">
        <f>IF(CampList[[#This Row],[HH]]&gt;0,CampList[[#This Row],[Total]]/CampList[[#This Row],[HH]],"NA")</f>
        <v>4.5</v>
      </c>
      <c r="U206" s="276" t="s">
        <v>465</v>
      </c>
      <c r="V206" s="276" t="s">
        <v>1013</v>
      </c>
      <c r="W206" s="315" t="s">
        <v>12</v>
      </c>
      <c r="X206" s="276" t="s">
        <v>743</v>
      </c>
      <c r="Y206" s="422">
        <v>41275</v>
      </c>
      <c r="Z206" s="289"/>
      <c r="AA206" s="274" t="s">
        <v>776</v>
      </c>
      <c r="AB206" s="290">
        <v>42849</v>
      </c>
      <c r="AC206" s="290"/>
      <c r="AD206" s="291" t="s">
        <v>1267</v>
      </c>
      <c r="AE206" s="276" t="str">
        <f ca="1">IFERROR(OFFSET(DistanceToCamp[Nearest Town],MATCH(CampList[[#This Row],[CP_Pcode]],DistanceToCamp[CP_Pcode],0)-1,0,1,1),"")</f>
        <v>Mohnyin Town</v>
      </c>
      <c r="AF206" s="292">
        <f ca="1">IFERROR(OFFSET(DistanceToCamp[distance],MATCH(CampList[[#This Row],[CP_Pcode]],DistanceToCamp[CP_Pcode],0)-1,0,1,1),"")</f>
        <v>0</v>
      </c>
      <c r="AG206" s="293">
        <f ca="1">IFERROR(INT(CampList[[#This Row],[Distance]]/5)+1,"")</f>
        <v>1</v>
      </c>
      <c r="AI206" s="489"/>
      <c r="AJ206" s="489"/>
    </row>
    <row r="207" spans="2:36" s="203" customFormat="1" ht="15.75" customHeight="1" x14ac:dyDescent="0.25">
      <c r="B207" s="283" t="s">
        <v>460</v>
      </c>
      <c r="C207" s="274" t="s">
        <v>378</v>
      </c>
      <c r="D207" s="274" t="s">
        <v>479</v>
      </c>
      <c r="E207" s="274" t="s">
        <v>299</v>
      </c>
      <c r="F207" s="274" t="s">
        <v>500</v>
      </c>
      <c r="G207" s="274" t="s">
        <v>299</v>
      </c>
      <c r="H207" s="274" t="s">
        <v>506</v>
      </c>
      <c r="I207" s="275" t="s">
        <v>741</v>
      </c>
      <c r="J207" s="300" t="s">
        <v>742</v>
      </c>
      <c r="K207" s="275" t="s">
        <v>1070</v>
      </c>
      <c r="L207" s="291" t="s">
        <v>1071</v>
      </c>
      <c r="M207" s="275" t="s">
        <v>1064</v>
      </c>
      <c r="N207" s="274" t="s">
        <v>1063</v>
      </c>
      <c r="O207" s="322">
        <v>97.416121000000004</v>
      </c>
      <c r="P207" s="322">
        <v>27.337499999999999</v>
      </c>
      <c r="Q207" s="302"/>
      <c r="R207" s="414">
        <v>61</v>
      </c>
      <c r="S207" s="414">
        <v>281</v>
      </c>
      <c r="T207" s="287">
        <f>IF(CampList[[#This Row],[HH]]&gt;0,CampList[[#This Row],[Total]]/CampList[[#This Row],[HH]],"NA")</f>
        <v>4.6065573770491799</v>
      </c>
      <c r="U207" s="276" t="s">
        <v>465</v>
      </c>
      <c r="V207" s="276" t="s">
        <v>1013</v>
      </c>
      <c r="W207" s="276" t="s">
        <v>508</v>
      </c>
      <c r="X207" s="224" t="s">
        <v>743</v>
      </c>
      <c r="Y207" s="422">
        <v>42180</v>
      </c>
      <c r="Z207" s="302" t="s">
        <v>424</v>
      </c>
      <c r="AA207" s="274" t="s">
        <v>776</v>
      </c>
      <c r="AB207" s="290">
        <v>43008</v>
      </c>
      <c r="AC207" s="290"/>
      <c r="AD207" s="304" t="s">
        <v>1398</v>
      </c>
      <c r="AE207" s="276" t="str">
        <f ca="1">IFERROR(OFFSET(DistanceToCamp[Nearest Town],MATCH(CampList[[#This Row],[CP_Pcode]],DistanceToCamp[CP_Pcode],0)-1,0,1,1),"")</f>
        <v>Puta-O Town</v>
      </c>
      <c r="AF207" s="292">
        <f ca="1">IFERROR(OFFSET(DistanceToCamp[distance],MATCH(CampList[[#This Row],[CP_Pcode]],DistanceToCamp[CP_Pcode],0)-1,0,1,1),"")</f>
        <v>0</v>
      </c>
      <c r="AG207" s="293">
        <f ca="1">IFERROR(INT(CampList[[#This Row],[Distance]]/5)+1,"")</f>
        <v>1</v>
      </c>
      <c r="AI207" s="489"/>
      <c r="AJ207" s="489"/>
    </row>
    <row r="208" spans="2:36" s="203" customFormat="1" ht="15.75" hidden="1" customHeight="1" x14ac:dyDescent="0.25">
      <c r="B208" s="283" t="s">
        <v>777</v>
      </c>
      <c r="C208" s="274" t="s">
        <v>378</v>
      </c>
      <c r="D208" s="274" t="s">
        <v>479</v>
      </c>
      <c r="E208" s="274" t="s">
        <v>180</v>
      </c>
      <c r="F208" s="274" t="s">
        <v>480</v>
      </c>
      <c r="G208" s="274" t="s">
        <v>173</v>
      </c>
      <c r="H208" s="274" t="s">
        <v>499</v>
      </c>
      <c r="I208" s="274" t="s">
        <v>1076</v>
      </c>
      <c r="J208" s="274" t="s">
        <v>1077</v>
      </c>
      <c r="K208" s="274" t="s">
        <v>1076</v>
      </c>
      <c r="L208" s="309">
        <v>166724</v>
      </c>
      <c r="M208" s="274" t="s">
        <v>1081</v>
      </c>
      <c r="N208" s="274" t="s">
        <v>1073</v>
      </c>
      <c r="O208" s="284">
        <v>96.793999999999997</v>
      </c>
      <c r="P208" s="284">
        <v>25.225000000000001</v>
      </c>
      <c r="Q208" s="302"/>
      <c r="R208" s="286"/>
      <c r="S208" s="302"/>
      <c r="T208" s="287" t="str">
        <f>IF(CampList[[#This Row],[HH]]&gt;0,CampList[[#This Row],[Total]]/CampList[[#This Row],[HH]],"NA")</f>
        <v>NA</v>
      </c>
      <c r="U208" s="276" t="s">
        <v>465</v>
      </c>
      <c r="V208" s="276" t="s">
        <v>1013</v>
      </c>
      <c r="W208" s="276" t="s">
        <v>12</v>
      </c>
      <c r="X208" s="276" t="s">
        <v>786</v>
      </c>
      <c r="Y208" s="422">
        <v>42125</v>
      </c>
      <c r="Z208" s="289"/>
      <c r="AA208" s="308" t="s">
        <v>775</v>
      </c>
      <c r="AB208" s="290">
        <v>42927</v>
      </c>
      <c r="AC208" s="290"/>
      <c r="AD208" s="291" t="s">
        <v>1436</v>
      </c>
      <c r="AE208" s="276" t="str">
        <f ca="1">IFERROR(OFFSET(DistanceToCamp[Nearest Town],MATCH(CampList[[#This Row],[CP_Pcode]],DistanceToCamp[CP_Pcode],0)-1,0,1,1),"")</f>
        <v>Mogaung Town</v>
      </c>
      <c r="AF208" s="292">
        <f ca="1">IFERROR(OFFSET(DistanceToCamp[distance],MATCH(CampList[[#This Row],[CP_Pcode]],DistanceToCamp[CP_Pcode],0)-1,0,1,1),"")</f>
        <v>5</v>
      </c>
      <c r="AG208" s="293">
        <f ca="1">IFERROR(INT(CampList[[#This Row],[Distance]]/5)+1,"")</f>
        <v>2</v>
      </c>
      <c r="AI208" s="489">
        <v>24</v>
      </c>
      <c r="AJ208" s="489">
        <v>83</v>
      </c>
    </row>
    <row r="209" spans="2:36" s="203" customFormat="1" ht="15.75" customHeight="1" x14ac:dyDescent="0.25">
      <c r="B209" s="283" t="s">
        <v>460</v>
      </c>
      <c r="C209" s="274" t="s">
        <v>378</v>
      </c>
      <c r="D209" s="274" t="s">
        <v>479</v>
      </c>
      <c r="E209" s="274" t="s">
        <v>180</v>
      </c>
      <c r="F209" s="274" t="s">
        <v>480</v>
      </c>
      <c r="G209" s="274" t="s">
        <v>173</v>
      </c>
      <c r="H209" s="274" t="s">
        <v>499</v>
      </c>
      <c r="I209" s="274" t="s">
        <v>1076</v>
      </c>
      <c r="J209" s="274" t="s">
        <v>1077</v>
      </c>
      <c r="K209" s="274" t="s">
        <v>1076</v>
      </c>
      <c r="L209" s="274">
        <v>166724</v>
      </c>
      <c r="M209" s="274" t="s">
        <v>1080</v>
      </c>
      <c r="N209" s="274" t="s">
        <v>1074</v>
      </c>
      <c r="O209" s="284">
        <v>96.793999999999997</v>
      </c>
      <c r="P209" s="284">
        <v>25.225000000000001</v>
      </c>
      <c r="Q209" s="302"/>
      <c r="R209" s="414">
        <v>28</v>
      </c>
      <c r="S209" s="654">
        <v>133</v>
      </c>
      <c r="T209" s="287">
        <f>IF(CampList[[#This Row],[HH]]&gt;0,CampList[[#This Row],[Total]]/CampList[[#This Row],[HH]],"NA")</f>
        <v>4.75</v>
      </c>
      <c r="U209" s="276" t="s">
        <v>465</v>
      </c>
      <c r="V209" s="276" t="s">
        <v>1013</v>
      </c>
      <c r="W209" s="276" t="s">
        <v>508</v>
      </c>
      <c r="X209" s="276" t="s">
        <v>786</v>
      </c>
      <c r="Y209" s="422">
        <v>42125</v>
      </c>
      <c r="Z209" s="289" t="s">
        <v>424</v>
      </c>
      <c r="AA209" s="275" t="s">
        <v>776</v>
      </c>
      <c r="AB209" s="290">
        <v>43008</v>
      </c>
      <c r="AC209" s="290"/>
      <c r="AD209" s="291" t="s">
        <v>1399</v>
      </c>
      <c r="AE209" s="276" t="str">
        <f ca="1">IFERROR(OFFSET(DistanceToCamp[Nearest Town],MATCH(CampList[[#This Row],[CP_Pcode]],DistanceToCamp[CP_Pcode],0)-1,0,1,1),"")</f>
        <v>Mogaung Town</v>
      </c>
      <c r="AF209" s="292">
        <f ca="1">IFERROR(OFFSET(DistanceToCamp[distance],MATCH(CampList[[#This Row],[CP_Pcode]],DistanceToCamp[CP_Pcode],0)-1,0,1,1),"")</f>
        <v>5</v>
      </c>
      <c r="AG209" s="293">
        <f ca="1">IFERROR(INT(CampList[[#This Row],[Distance]]/5)+1,"")</f>
        <v>2</v>
      </c>
      <c r="AI209" s="489"/>
      <c r="AJ209" s="489"/>
    </row>
    <row r="210" spans="2:36" s="203" customFormat="1" ht="15.75" customHeight="1" x14ac:dyDescent="0.25">
      <c r="B210" s="299" t="s">
        <v>460</v>
      </c>
      <c r="C210" s="275" t="s">
        <v>378</v>
      </c>
      <c r="D210" s="274" t="s">
        <v>479</v>
      </c>
      <c r="E210" s="274" t="s">
        <v>180</v>
      </c>
      <c r="F210" s="274" t="s">
        <v>480</v>
      </c>
      <c r="G210" s="275" t="s">
        <v>173</v>
      </c>
      <c r="H210" s="275" t="s">
        <v>499</v>
      </c>
      <c r="I210" s="275" t="s">
        <v>573</v>
      </c>
      <c r="J210" s="300" t="s">
        <v>574</v>
      </c>
      <c r="K210" s="275" t="s">
        <v>575</v>
      </c>
      <c r="L210" s="275">
        <v>166676</v>
      </c>
      <c r="M210" s="275" t="s">
        <v>1072</v>
      </c>
      <c r="N210" s="275" t="s">
        <v>1075</v>
      </c>
      <c r="O210" s="286">
        <v>96.942279999999997</v>
      </c>
      <c r="P210" s="286">
        <v>25.299679999999999</v>
      </c>
      <c r="Q210" s="302"/>
      <c r="R210" s="286">
        <v>7</v>
      </c>
      <c r="S210" s="302">
        <v>31</v>
      </c>
      <c r="T210" s="287">
        <f>IF(CampList[[#This Row],[HH]]&gt;0,CampList[[#This Row],[Total]]/CampList[[#This Row],[HH]],"NA")</f>
        <v>4.4285714285714288</v>
      </c>
      <c r="U210" s="224" t="s">
        <v>465</v>
      </c>
      <c r="V210" s="276" t="s">
        <v>1013</v>
      </c>
      <c r="W210" s="276" t="s">
        <v>1574</v>
      </c>
      <c r="X210" s="224" t="s">
        <v>743</v>
      </c>
      <c r="Y210" s="422">
        <v>42125</v>
      </c>
      <c r="Z210" s="302"/>
      <c r="AA210" s="275" t="s">
        <v>776</v>
      </c>
      <c r="AB210" s="290">
        <v>42915</v>
      </c>
      <c r="AC210" s="290"/>
      <c r="AD210" s="304" t="s">
        <v>1332</v>
      </c>
      <c r="AE210" s="276" t="str">
        <f ca="1">IFERROR(OFFSET(DistanceToCamp[Nearest Town],MATCH(CampList[[#This Row],[CP_Pcode]],DistanceToCamp[CP_Pcode],0)-1,0,1,1),"")</f>
        <v>Mogaung Town</v>
      </c>
      <c r="AF210" s="292">
        <f ca="1">IFERROR(OFFSET(DistanceToCamp[distance],MATCH(CampList[[#This Row],[CP_Pcode]],DistanceToCamp[CP_Pcode],0)-1,0,1,1),"")</f>
        <v>0.75</v>
      </c>
      <c r="AG210" s="293">
        <f ca="1">IFERROR(INT(CampList[[#This Row],[Distance]]/5)+1,"")</f>
        <v>1</v>
      </c>
      <c r="AI210" s="489"/>
      <c r="AJ210" s="489"/>
    </row>
    <row r="211" spans="2:36" s="203" customFormat="1" ht="15.75" customHeight="1" x14ac:dyDescent="0.25">
      <c r="B211" s="299" t="s">
        <v>460</v>
      </c>
      <c r="C211" s="275" t="s">
        <v>378</v>
      </c>
      <c r="D211" s="274" t="s">
        <v>479</v>
      </c>
      <c r="E211" s="274" t="s">
        <v>299</v>
      </c>
      <c r="F211" s="274" t="s">
        <v>500</v>
      </c>
      <c r="G211" s="274" t="s">
        <v>748</v>
      </c>
      <c r="H211" s="274" t="s">
        <v>749</v>
      </c>
      <c r="I211" s="275"/>
      <c r="J211" s="300"/>
      <c r="K211" s="275"/>
      <c r="L211" s="275"/>
      <c r="M211" s="274" t="s">
        <v>1084</v>
      </c>
      <c r="N211" s="275" t="s">
        <v>1085</v>
      </c>
      <c r="O211" s="322">
        <v>97.745480999999998</v>
      </c>
      <c r="P211" s="322">
        <v>26.569633</v>
      </c>
      <c r="Q211" s="302"/>
      <c r="R211" s="414">
        <v>70</v>
      </c>
      <c r="S211" s="414">
        <v>407</v>
      </c>
      <c r="T211" s="287">
        <f>IF(CampList[[#This Row],[HH]]&gt;0,CampList[[#This Row],[Total]]/CampList[[#This Row],[HH]],"NA")</f>
        <v>5.8142857142857141</v>
      </c>
      <c r="U211" s="224" t="s">
        <v>467</v>
      </c>
      <c r="V211" s="276" t="s">
        <v>1013</v>
      </c>
      <c r="W211" s="224" t="s">
        <v>508</v>
      </c>
      <c r="X211" s="224" t="s">
        <v>786</v>
      </c>
      <c r="Y211" s="422">
        <v>42036</v>
      </c>
      <c r="Z211" s="302" t="s">
        <v>424</v>
      </c>
      <c r="AA211" s="275" t="s">
        <v>776</v>
      </c>
      <c r="AB211" s="290">
        <v>43008</v>
      </c>
      <c r="AC211" s="290"/>
      <c r="AD211" s="323" t="s">
        <v>1400</v>
      </c>
      <c r="AE211" s="276" t="str">
        <f ca="1">IFERROR(OFFSET(DistanceToCamp[Nearest Town],MATCH(CampList[[#This Row],[CP_Pcode]],DistanceToCamp[CP_Pcode],0)-1,0,1,1),"")</f>
        <v>Sumprabum Town</v>
      </c>
      <c r="AF211" s="292">
        <f ca="1">IFERROR(OFFSET(DistanceToCamp[distance],MATCH(CampList[[#This Row],[CP_Pcode]],DistanceToCamp[CP_Pcode],0)-1,0,1,1),"")</f>
        <v>0</v>
      </c>
      <c r="AG211" s="293">
        <f ca="1">IFERROR(INT(CampList[[#This Row],[Distance]]/5)+1,"")</f>
        <v>1</v>
      </c>
      <c r="AI211" s="489"/>
      <c r="AJ211" s="489"/>
    </row>
    <row r="212" spans="2:36" s="203" customFormat="1" ht="15.75" customHeight="1" x14ac:dyDescent="0.25">
      <c r="B212" s="299" t="s">
        <v>460</v>
      </c>
      <c r="C212" s="275" t="s">
        <v>378</v>
      </c>
      <c r="D212" s="274" t="s">
        <v>479</v>
      </c>
      <c r="E212" s="274" t="s">
        <v>299</v>
      </c>
      <c r="F212" s="274" t="s">
        <v>500</v>
      </c>
      <c r="G212" s="274" t="s">
        <v>748</v>
      </c>
      <c r="H212" s="274" t="s">
        <v>749</v>
      </c>
      <c r="I212" s="275"/>
      <c r="J212" s="300"/>
      <c r="K212" s="275"/>
      <c r="L212" s="275"/>
      <c r="M212" s="275" t="s">
        <v>1086</v>
      </c>
      <c r="N212" s="275" t="s">
        <v>1087</v>
      </c>
      <c r="O212" s="322">
        <v>97.75609</v>
      </c>
      <c r="P212" s="322">
        <v>26.548506</v>
      </c>
      <c r="Q212" s="302"/>
      <c r="R212" s="414">
        <v>63</v>
      </c>
      <c r="S212" s="414">
        <v>325</v>
      </c>
      <c r="T212" s="287">
        <f>IF(CampList[[#This Row],[HH]]&gt;0,CampList[[#This Row],[Total]]/CampList[[#This Row],[HH]],"NA")</f>
        <v>5.1587301587301591</v>
      </c>
      <c r="U212" s="224" t="s">
        <v>467</v>
      </c>
      <c r="V212" s="276" t="s">
        <v>1013</v>
      </c>
      <c r="W212" s="224" t="s">
        <v>508</v>
      </c>
      <c r="X212" s="224" t="s">
        <v>786</v>
      </c>
      <c r="Y212" s="422">
        <v>42036</v>
      </c>
      <c r="Z212" s="302" t="s">
        <v>424</v>
      </c>
      <c r="AA212" s="275" t="s">
        <v>776</v>
      </c>
      <c r="AB212" s="290">
        <v>43008</v>
      </c>
      <c r="AC212" s="290"/>
      <c r="AD212" s="323" t="s">
        <v>1401</v>
      </c>
      <c r="AE212" s="276" t="str">
        <f ca="1">IFERROR(OFFSET(DistanceToCamp[Nearest Town],MATCH(CampList[[#This Row],[CP_Pcode]],DistanceToCamp[CP_Pcode],0)-1,0,1,1),"")</f>
        <v>Sumprabum Town</v>
      </c>
      <c r="AF212" s="292">
        <f ca="1">IFERROR(OFFSET(DistanceToCamp[distance],MATCH(CampList[[#This Row],[CP_Pcode]],DistanceToCamp[CP_Pcode],0)-1,0,1,1),"")</f>
        <v>0</v>
      </c>
      <c r="AG212" s="293">
        <f ca="1">IFERROR(INT(CampList[[#This Row],[Distance]]/5)+1,"")</f>
        <v>1</v>
      </c>
      <c r="AI212" s="489"/>
      <c r="AJ212" s="489"/>
    </row>
    <row r="213" spans="2:36" s="203" customFormat="1" ht="15.75" hidden="1" customHeight="1" x14ac:dyDescent="0.25">
      <c r="B213" s="299" t="s">
        <v>777</v>
      </c>
      <c r="C213" s="274" t="s">
        <v>378</v>
      </c>
      <c r="D213" s="274" t="s">
        <v>479</v>
      </c>
      <c r="E213" s="274" t="s">
        <v>5</v>
      </c>
      <c r="F213" s="274" t="s">
        <v>483</v>
      </c>
      <c r="G213" s="328" t="s">
        <v>185</v>
      </c>
      <c r="H213" s="328" t="s">
        <v>487</v>
      </c>
      <c r="I213" s="328" t="s">
        <v>1027</v>
      </c>
      <c r="J213" s="328" t="s">
        <v>1097</v>
      </c>
      <c r="K213" s="275" t="s">
        <v>657</v>
      </c>
      <c r="L213" s="274" t="s">
        <v>1137</v>
      </c>
      <c r="M213" s="274" t="s">
        <v>1098</v>
      </c>
      <c r="N213" s="274" t="s">
        <v>1099</v>
      </c>
      <c r="O213" s="329">
        <v>97.461271999999994</v>
      </c>
      <c r="P213" s="329">
        <v>24.613976000000001</v>
      </c>
      <c r="Q213" s="302"/>
      <c r="R213" s="285"/>
      <c r="S213" s="302"/>
      <c r="T213" s="287" t="str">
        <f>IF(CampList[[#This Row],[HH]]&gt;0,CampList[[#This Row],[Total]]/CampList[[#This Row],[HH]],"NA")</f>
        <v>NA</v>
      </c>
      <c r="U213" s="276" t="s">
        <v>465</v>
      </c>
      <c r="V213" s="276" t="s">
        <v>1013</v>
      </c>
      <c r="W213" s="276" t="s">
        <v>853</v>
      </c>
      <c r="X213" s="276" t="s">
        <v>786</v>
      </c>
      <c r="Y213" s="421"/>
      <c r="Z213" s="288"/>
      <c r="AA213" s="274" t="s">
        <v>1196</v>
      </c>
      <c r="AB213" s="290">
        <v>42927</v>
      </c>
      <c r="AC213" s="290"/>
      <c r="AD213" s="291" t="s">
        <v>1432</v>
      </c>
      <c r="AE213" s="276" t="str">
        <f ca="1">IFERROR(OFFSET(DistanceToCamp[Nearest Town],MATCH(CampList[[#This Row],[CP_Pcode]],DistanceToCamp[CP_Pcode],0)-1,0,1,1),"")</f>
        <v>Dawthponeyan  Town</v>
      </c>
      <c r="AF213" s="292">
        <f ca="1">IFERROR(OFFSET(DistanceToCamp[distance],MATCH(CampList[[#This Row],[CP_Pcode]],DistanceToCamp[CP_Pcode],0)-1,0,1,1),"")</f>
        <v>0</v>
      </c>
      <c r="AG213" s="293">
        <f ca="1">IFERROR(INT(CampList[[#This Row],[Distance]]/5)+1,"")</f>
        <v>1</v>
      </c>
      <c r="AI213" s="489"/>
      <c r="AJ213" s="489">
        <v>49</v>
      </c>
    </row>
    <row r="214" spans="2:36" s="226" customFormat="1" ht="15.75" hidden="1" customHeight="1" x14ac:dyDescent="0.25">
      <c r="B214" s="283" t="s">
        <v>777</v>
      </c>
      <c r="C214" s="274" t="s">
        <v>507</v>
      </c>
      <c r="D214" s="274" t="s">
        <v>490</v>
      </c>
      <c r="E214" s="274" t="s">
        <v>230</v>
      </c>
      <c r="F214" s="274" t="s">
        <v>491</v>
      </c>
      <c r="G214" s="274" t="s">
        <v>288</v>
      </c>
      <c r="H214" s="274" t="s">
        <v>503</v>
      </c>
      <c r="I214" s="274" t="s">
        <v>692</v>
      </c>
      <c r="J214" s="274" t="s">
        <v>693</v>
      </c>
      <c r="K214" s="274" t="s">
        <v>692</v>
      </c>
      <c r="L214" s="274">
        <v>208353</v>
      </c>
      <c r="M214" s="274" t="s">
        <v>373</v>
      </c>
      <c r="N214" s="274" t="s">
        <v>387</v>
      </c>
      <c r="O214" s="284">
        <v>97.678299999999993</v>
      </c>
      <c r="P214" s="284">
        <v>23.82152</v>
      </c>
      <c r="Q214" s="302">
        <v>813.4</v>
      </c>
      <c r="R214" s="376">
        <v>0</v>
      </c>
      <c r="S214" s="377">
        <v>0</v>
      </c>
      <c r="T214" s="287" t="str">
        <f>IF(CampList[[#This Row],[HH]]&gt;0,CampList[[#This Row],[Total]]/CampList[[#This Row],[HH]],"NA")</f>
        <v>NA</v>
      </c>
      <c r="U214" s="276" t="s">
        <v>467</v>
      </c>
      <c r="V214" s="294" t="s">
        <v>1013</v>
      </c>
      <c r="W214" s="276" t="s">
        <v>508</v>
      </c>
      <c r="X214" s="294"/>
      <c r="Y214" s="310"/>
      <c r="Z214" s="295" t="s">
        <v>942</v>
      </c>
      <c r="AA214" s="308" t="s">
        <v>776</v>
      </c>
      <c r="AB214" s="290">
        <v>41712</v>
      </c>
      <c r="AC214" s="290"/>
      <c r="AD214" s="283" t="s">
        <v>882</v>
      </c>
      <c r="AE214" s="276" t="str">
        <f ca="1">IFERROR(OFFSET(DistanceToCamp[Nearest Town],MATCH(CampList[[#This Row],[CP_Pcode]],DistanceToCamp[CP_Pcode],0)-1,0,1,1),"")</f>
        <v/>
      </c>
      <c r="AF214" s="292" t="str">
        <f ca="1">IFERROR(OFFSET(DistanceToCamp[distance],MATCH(CampList[[#This Row],[CP_Pcode]],DistanceToCamp[CP_Pcode],0)-1,0,1,1),"")</f>
        <v/>
      </c>
      <c r="AG214" s="293" t="str">
        <f ca="1">IFERROR(INT(CampList[[#This Row],[Distance]]/5)+1,"")</f>
        <v/>
      </c>
      <c r="AI214" s="495"/>
      <c r="AJ214" s="495"/>
    </row>
    <row r="215" spans="2:36" s="226" customFormat="1" ht="15.75" hidden="1" customHeight="1" x14ac:dyDescent="0.25">
      <c r="B215" s="299" t="s">
        <v>777</v>
      </c>
      <c r="C215" s="274" t="s">
        <v>378</v>
      </c>
      <c r="D215" s="274" t="s">
        <v>479</v>
      </c>
      <c r="E215" s="275" t="s">
        <v>237</v>
      </c>
      <c r="F215" s="275" t="s">
        <v>485</v>
      </c>
      <c r="G215" s="275" t="s">
        <v>481</v>
      </c>
      <c r="H215" s="275" t="s">
        <v>1164</v>
      </c>
      <c r="I215" s="275" t="s">
        <v>1181</v>
      </c>
      <c r="J215" s="300" t="s">
        <v>1182</v>
      </c>
      <c r="K215" s="274" t="s">
        <v>1181</v>
      </c>
      <c r="L215" s="300">
        <v>166818</v>
      </c>
      <c r="M215" s="275" t="s">
        <v>1162</v>
      </c>
      <c r="N215" s="274" t="s">
        <v>1163</v>
      </c>
      <c r="O215" s="286">
        <v>96.637</v>
      </c>
      <c r="P215" s="286">
        <v>25.806999999999999</v>
      </c>
      <c r="Q215" s="302"/>
      <c r="R215" s="285"/>
      <c r="S215" s="302"/>
      <c r="T215" s="287" t="str">
        <f>IF(CampList[[#This Row],[HH]]&gt;0,CampList[[#This Row],[Total]]/CampList[[#This Row],[HH]],"NA")</f>
        <v>NA</v>
      </c>
      <c r="U215" s="276" t="s">
        <v>465</v>
      </c>
      <c r="V215" s="276" t="s">
        <v>1013</v>
      </c>
      <c r="W215" s="276" t="s">
        <v>508</v>
      </c>
      <c r="X215" s="276" t="s">
        <v>786</v>
      </c>
      <c r="Y215" s="422">
        <v>42370</v>
      </c>
      <c r="Z215" s="288"/>
      <c r="AA215" s="274" t="s">
        <v>776</v>
      </c>
      <c r="AB215" s="290">
        <v>42927</v>
      </c>
      <c r="AC215" s="290"/>
      <c r="AD215" s="283" t="s">
        <v>1437</v>
      </c>
      <c r="AE215" s="276" t="str">
        <f ca="1">IFERROR(OFFSET(DistanceToCamp[Nearest Town],MATCH(CampList[[#This Row],[CP_Pcode]],DistanceToCamp[CP_Pcode],0)-1,0,1,1),"")</f>
        <v>Hpakant Town</v>
      </c>
      <c r="AF215" s="292">
        <f ca="1">IFERROR(OFFSET(DistanceToCamp[distance],MATCH(CampList[[#This Row],[CP_Pcode]],DistanceToCamp[CP_Pcode],0)-1,0,1,1),"")</f>
        <v>0</v>
      </c>
      <c r="AG215" s="293">
        <f ca="1">IFERROR(INT(CampList[[#This Row],[Distance]]/5)+1,"")</f>
        <v>1</v>
      </c>
      <c r="AI215" s="495">
        <v>6</v>
      </c>
      <c r="AJ215" s="495">
        <v>9</v>
      </c>
    </row>
    <row r="216" spans="2:36" s="226" customFormat="1" ht="15.75" hidden="1" customHeight="1" x14ac:dyDescent="0.25">
      <c r="B216" s="283" t="s">
        <v>777</v>
      </c>
      <c r="C216" s="274" t="s">
        <v>378</v>
      </c>
      <c r="D216" s="274" t="s">
        <v>479</v>
      </c>
      <c r="E216" s="274" t="s">
        <v>180</v>
      </c>
      <c r="F216" s="274" t="s">
        <v>480</v>
      </c>
      <c r="G216" s="274" t="s">
        <v>180</v>
      </c>
      <c r="H216" s="274" t="s">
        <v>505</v>
      </c>
      <c r="I216" s="291" t="s">
        <v>557</v>
      </c>
      <c r="J216" s="291" t="s">
        <v>558</v>
      </c>
      <c r="K216" s="291" t="s">
        <v>557</v>
      </c>
      <c r="L216" s="291">
        <v>166591</v>
      </c>
      <c r="M216" s="274" t="s">
        <v>183</v>
      </c>
      <c r="N216" s="274" t="s">
        <v>182</v>
      </c>
      <c r="O216" s="284">
        <v>96.364949999999993</v>
      </c>
      <c r="P216" s="284">
        <v>24.998349999999999</v>
      </c>
      <c r="Q216" s="285">
        <v>0</v>
      </c>
      <c r="R216" s="376">
        <v>0</v>
      </c>
      <c r="S216" s="377">
        <v>0</v>
      </c>
      <c r="T216" s="287" t="str">
        <f>IF(CampList[[#This Row],[HH]]&gt;0,CampList[[#This Row],[Total]]/CampList[[#This Row],[HH]],"NA")</f>
        <v>NA</v>
      </c>
      <c r="U216" s="276" t="s">
        <v>465</v>
      </c>
      <c r="V216" s="294" t="s">
        <v>1013</v>
      </c>
      <c r="W216" s="276" t="s">
        <v>508</v>
      </c>
      <c r="X216" s="294" t="s">
        <v>786</v>
      </c>
      <c r="Y216" s="295">
        <v>40969</v>
      </c>
      <c r="Z216" s="295" t="s">
        <v>424</v>
      </c>
      <c r="AA216" s="308" t="s">
        <v>775</v>
      </c>
      <c r="AB216" s="290">
        <v>41837</v>
      </c>
      <c r="AC216" s="290"/>
      <c r="AD216" s="283" t="s">
        <v>948</v>
      </c>
      <c r="AE216" s="276" t="str">
        <f ca="1">IFERROR(OFFSET(DistanceToCamp[Nearest Town],MATCH(CampList[[#This Row],[CP_Pcode]],DistanceToCamp[CP_Pcode],0)-1,0,1,1),"")</f>
        <v/>
      </c>
      <c r="AF216" s="292" t="str">
        <f ca="1">IFERROR(OFFSET(DistanceToCamp[distance],MATCH(CampList[[#This Row],[CP_Pcode]],DistanceToCamp[CP_Pcode],0)-1,0,1,1),"")</f>
        <v/>
      </c>
      <c r="AG216" s="293" t="str">
        <f ca="1">IFERROR(INT(CampList[[#This Row],[Distance]]/5)+1,"")</f>
        <v/>
      </c>
      <c r="AI216" s="495"/>
      <c r="AJ216" s="495"/>
    </row>
    <row r="217" spans="2:36" s="226" customFormat="1" ht="15.75" customHeight="1" x14ac:dyDescent="0.25">
      <c r="B217" s="361" t="s">
        <v>460</v>
      </c>
      <c r="C217" s="274" t="s">
        <v>378</v>
      </c>
      <c r="D217" s="274"/>
      <c r="E217" s="274" t="s">
        <v>237</v>
      </c>
      <c r="F217" s="274"/>
      <c r="G217" s="274" t="s">
        <v>1165</v>
      </c>
      <c r="H217" s="274"/>
      <c r="I217" s="274" t="s">
        <v>1165</v>
      </c>
      <c r="J217" s="300"/>
      <c r="K217" s="274"/>
      <c r="L217" s="274"/>
      <c r="M217" s="275" t="s">
        <v>1604</v>
      </c>
      <c r="N217" s="682" t="s">
        <v>1607</v>
      </c>
      <c r="O217" s="284"/>
      <c r="P217" s="284"/>
      <c r="Q217" s="302"/>
      <c r="R217" s="376">
        <v>44</v>
      </c>
      <c r="S217" s="377">
        <v>150</v>
      </c>
      <c r="T217" s="287">
        <f>IF(CampList[[#This Row],[HH]]&gt;0,CampList[[#This Row],[Total]]/CampList[[#This Row],[HH]],"NA")</f>
        <v>3.4090909090909092</v>
      </c>
      <c r="U217" s="224" t="s">
        <v>465</v>
      </c>
      <c r="V217" s="276" t="s">
        <v>1013</v>
      </c>
      <c r="W217" s="276" t="s">
        <v>1574</v>
      </c>
      <c r="X217" s="276" t="s">
        <v>743</v>
      </c>
      <c r="Y217" s="288">
        <v>42741</v>
      </c>
      <c r="Z217" s="295"/>
      <c r="AA217" s="308" t="s">
        <v>776</v>
      </c>
      <c r="AB217" s="290" t="s">
        <v>1595</v>
      </c>
      <c r="AC217" s="290"/>
      <c r="AD217" s="283"/>
      <c r="AE217" s="305" t="str">
        <f ca="1">IFERROR(OFFSET(DistanceToCamp[Nearest Town],MATCH(CampList[[#This Row],[CP_Pcode]],DistanceToCamp[CP_Pcode],0)-1,0,1,1),"")</f>
        <v/>
      </c>
      <c r="AF217" s="292" t="str">
        <f ca="1">IFERROR(OFFSET(DistanceToCamp[distance],MATCH(CampList[[#This Row],[CP_Pcode]],DistanceToCamp[CP_Pcode],0)-1,0,1,1),"")</f>
        <v/>
      </c>
      <c r="AG217" s="306" t="str">
        <f ca="1">IFERROR(INT(CampList[[#This Row],[Distance]]/5)+1,"")</f>
        <v/>
      </c>
      <c r="AI217" s="495"/>
      <c r="AJ217" s="495"/>
    </row>
    <row r="218" spans="2:36" s="226" customFormat="1" ht="15.75" customHeight="1" x14ac:dyDescent="0.25">
      <c r="B218" s="361" t="s">
        <v>460</v>
      </c>
      <c r="C218" s="274" t="s">
        <v>378</v>
      </c>
      <c r="D218" s="274"/>
      <c r="E218" s="274" t="s">
        <v>237</v>
      </c>
      <c r="F218" s="274"/>
      <c r="G218" s="274" t="s">
        <v>1165</v>
      </c>
      <c r="H218" s="274"/>
      <c r="I218" s="274" t="s">
        <v>1165</v>
      </c>
      <c r="J218" s="300"/>
      <c r="K218" s="274"/>
      <c r="L218" s="274"/>
      <c r="M218" s="275" t="s">
        <v>1592</v>
      </c>
      <c r="N218" s="274" t="s">
        <v>1608</v>
      </c>
      <c r="O218" s="284"/>
      <c r="P218" s="284"/>
      <c r="Q218" s="302"/>
      <c r="R218" s="376">
        <v>52</v>
      </c>
      <c r="S218" s="377">
        <v>219</v>
      </c>
      <c r="T218" s="287">
        <f>IF(CampList[[#This Row],[HH]]&gt;0,CampList[[#This Row],[Total]]/CampList[[#This Row],[HH]],"NA")</f>
        <v>4.2115384615384617</v>
      </c>
      <c r="U218" s="224" t="s">
        <v>465</v>
      </c>
      <c r="V218" s="276" t="s">
        <v>1013</v>
      </c>
      <c r="W218" s="276" t="s">
        <v>1574</v>
      </c>
      <c r="X218" s="276" t="s">
        <v>743</v>
      </c>
      <c r="Y218" s="288">
        <v>42741</v>
      </c>
      <c r="Z218" s="295"/>
      <c r="AA218" s="308" t="s">
        <v>776</v>
      </c>
      <c r="AB218" s="290" t="s">
        <v>1595</v>
      </c>
      <c r="AC218" s="290"/>
      <c r="AD218" s="283"/>
      <c r="AE218" s="305" t="str">
        <f ca="1">IFERROR(OFFSET(DistanceToCamp[Nearest Town],MATCH(CampList[[#This Row],[CP_Pcode]],DistanceToCamp[CP_Pcode],0)-1,0,1,1),"")</f>
        <v/>
      </c>
      <c r="AF218" s="292" t="str">
        <f ca="1">IFERROR(OFFSET(DistanceToCamp[distance],MATCH(CampList[[#This Row],[CP_Pcode]],DistanceToCamp[CP_Pcode],0)-1,0,1,1),"")</f>
        <v/>
      </c>
      <c r="AG218" s="306" t="str">
        <f ca="1">IFERROR(INT(CampList[[#This Row],[Distance]]/5)+1,"")</f>
        <v/>
      </c>
      <c r="AI218" s="495"/>
      <c r="AJ218" s="495"/>
    </row>
    <row r="219" spans="2:36" s="226" customFormat="1" ht="15.75" customHeight="1" x14ac:dyDescent="0.25">
      <c r="B219" s="361" t="s">
        <v>460</v>
      </c>
      <c r="C219" s="274" t="s">
        <v>378</v>
      </c>
      <c r="D219" s="274"/>
      <c r="E219" s="274" t="s">
        <v>237</v>
      </c>
      <c r="F219" s="274"/>
      <c r="G219" s="274" t="s">
        <v>1165</v>
      </c>
      <c r="H219" s="274"/>
      <c r="I219" s="274" t="s">
        <v>1165</v>
      </c>
      <c r="J219" s="300"/>
      <c r="K219" s="274"/>
      <c r="L219" s="274"/>
      <c r="M219" s="275" t="s">
        <v>1593</v>
      </c>
      <c r="N219" s="274" t="s">
        <v>1609</v>
      </c>
      <c r="O219" s="284"/>
      <c r="P219" s="284"/>
      <c r="Q219" s="302"/>
      <c r="R219" s="376">
        <v>157</v>
      </c>
      <c r="S219" s="377">
        <v>486</v>
      </c>
      <c r="T219" s="287">
        <f>IF(CampList[[#This Row],[HH]]&gt;0,CampList[[#This Row],[Total]]/CampList[[#This Row],[HH]],"NA")</f>
        <v>3.0955414012738856</v>
      </c>
      <c r="U219" s="224" t="s">
        <v>465</v>
      </c>
      <c r="V219" s="276" t="s">
        <v>1013</v>
      </c>
      <c r="W219" s="276" t="s">
        <v>1574</v>
      </c>
      <c r="X219" s="276" t="s">
        <v>743</v>
      </c>
      <c r="Y219" s="288">
        <v>42741</v>
      </c>
      <c r="Z219" s="295"/>
      <c r="AA219" s="308" t="s">
        <v>776</v>
      </c>
      <c r="AB219" s="290" t="s">
        <v>1595</v>
      </c>
      <c r="AC219" s="290"/>
      <c r="AD219" s="283"/>
      <c r="AE219" s="305" t="str">
        <f ca="1">IFERROR(OFFSET(DistanceToCamp[Nearest Town],MATCH(CampList[[#This Row],[CP_Pcode]],DistanceToCamp[CP_Pcode],0)-1,0,1,1),"")</f>
        <v/>
      </c>
      <c r="AF219" s="292" t="str">
        <f ca="1">IFERROR(OFFSET(DistanceToCamp[distance],MATCH(CampList[[#This Row],[CP_Pcode]],DistanceToCamp[CP_Pcode],0)-1,0,1,1),"")</f>
        <v/>
      </c>
      <c r="AG219" s="306" t="str">
        <f ca="1">IFERROR(INT(CampList[[#This Row],[Distance]]/5)+1,"")</f>
        <v/>
      </c>
      <c r="AI219" s="495"/>
      <c r="AJ219" s="495"/>
    </row>
    <row r="220" spans="2:36" s="226" customFormat="1" ht="15.75" customHeight="1" x14ac:dyDescent="0.25">
      <c r="B220" s="361" t="s">
        <v>460</v>
      </c>
      <c r="C220" s="274" t="s">
        <v>378</v>
      </c>
      <c r="D220" s="274"/>
      <c r="E220" s="274" t="s">
        <v>237</v>
      </c>
      <c r="F220" s="274"/>
      <c r="G220" s="274" t="s">
        <v>1165</v>
      </c>
      <c r="H220" s="274"/>
      <c r="I220" s="274" t="s">
        <v>1165</v>
      </c>
      <c r="J220" s="300"/>
      <c r="K220" s="274"/>
      <c r="L220" s="274"/>
      <c r="M220" s="275" t="s">
        <v>1594</v>
      </c>
      <c r="N220" s="274" t="s">
        <v>1610</v>
      </c>
      <c r="O220" s="284"/>
      <c r="P220" s="284"/>
      <c r="Q220" s="302"/>
      <c r="R220" s="376">
        <v>36</v>
      </c>
      <c r="S220" s="377">
        <v>137</v>
      </c>
      <c r="T220" s="287">
        <f>IF(CampList[[#This Row],[HH]]&gt;0,CampList[[#This Row],[Total]]/CampList[[#This Row],[HH]],"NA")</f>
        <v>3.8055555555555554</v>
      </c>
      <c r="U220" s="224" t="s">
        <v>465</v>
      </c>
      <c r="V220" s="276" t="s">
        <v>1013</v>
      </c>
      <c r="W220" s="276" t="s">
        <v>1574</v>
      </c>
      <c r="X220" s="276" t="s">
        <v>743</v>
      </c>
      <c r="Y220" s="288">
        <v>42741</v>
      </c>
      <c r="Z220" s="295"/>
      <c r="AA220" s="308" t="s">
        <v>776</v>
      </c>
      <c r="AB220" s="290" t="s">
        <v>1595</v>
      </c>
      <c r="AC220" s="290"/>
      <c r="AD220" s="283"/>
      <c r="AE220" s="305" t="str">
        <f ca="1">IFERROR(OFFSET(DistanceToCamp[Nearest Town],MATCH(CampList[[#This Row],[CP_Pcode]],DistanceToCamp[CP_Pcode],0)-1,0,1,1),"")</f>
        <v/>
      </c>
      <c r="AF220" s="292" t="str">
        <f ca="1">IFERROR(OFFSET(DistanceToCamp[distance],MATCH(CampList[[#This Row],[CP_Pcode]],DistanceToCamp[CP_Pcode],0)-1,0,1,1),"")</f>
        <v/>
      </c>
      <c r="AG220" s="306" t="str">
        <f ca="1">IFERROR(INT(CampList[[#This Row],[Distance]]/5)+1,"")</f>
        <v/>
      </c>
      <c r="AI220" s="495"/>
      <c r="AJ220" s="495"/>
    </row>
    <row r="221" spans="2:36" s="226" customFormat="1" ht="15.75" customHeight="1" x14ac:dyDescent="0.25">
      <c r="B221" s="283" t="s">
        <v>460</v>
      </c>
      <c r="C221" s="274" t="s">
        <v>378</v>
      </c>
      <c r="D221" s="274" t="s">
        <v>479</v>
      </c>
      <c r="E221" s="274" t="s">
        <v>180</v>
      </c>
      <c r="F221" s="274" t="s">
        <v>480</v>
      </c>
      <c r="G221" s="274" t="s">
        <v>481</v>
      </c>
      <c r="H221" s="274" t="s">
        <v>482</v>
      </c>
      <c r="I221" s="275" t="s">
        <v>1181</v>
      </c>
      <c r="J221" s="300" t="s">
        <v>1182</v>
      </c>
      <c r="K221" s="275" t="s">
        <v>1189</v>
      </c>
      <c r="L221" s="275">
        <v>166819</v>
      </c>
      <c r="M221" s="21" t="s">
        <v>1188</v>
      </c>
      <c r="N221" s="275" t="s">
        <v>1191</v>
      </c>
      <c r="O221" s="330">
        <v>96.662092000000001</v>
      </c>
      <c r="P221" s="330">
        <v>25.920006000000001</v>
      </c>
      <c r="Q221" s="302"/>
      <c r="R221" s="414">
        <v>28</v>
      </c>
      <c r="S221" s="654">
        <v>111</v>
      </c>
      <c r="T221" s="287">
        <f>IF(CampList[[#This Row],[HH]]&gt;0,CampList[[#This Row],[Total]]/CampList[[#This Row],[HH]],"NA")</f>
        <v>3.9642857142857144</v>
      </c>
      <c r="U221" s="224" t="s">
        <v>465</v>
      </c>
      <c r="V221" s="276" t="s">
        <v>1013</v>
      </c>
      <c r="W221" s="224" t="s">
        <v>508</v>
      </c>
      <c r="X221" s="224" t="s">
        <v>786</v>
      </c>
      <c r="Y221" s="422">
        <v>42584</v>
      </c>
      <c r="Z221" s="302" t="s">
        <v>424</v>
      </c>
      <c r="AA221" s="275" t="s">
        <v>776</v>
      </c>
      <c r="AB221" s="290">
        <v>43008</v>
      </c>
      <c r="AC221" s="290"/>
      <c r="AD221" s="304" t="s">
        <v>1402</v>
      </c>
      <c r="AE221" s="305" t="str">
        <f ca="1">IFERROR(OFFSET(DistanceToCamp[Nearest Town],MATCH(CampList[[#This Row],[CP_Pcode]],DistanceToCamp[CP_Pcode],0)-1,0,1,1),"")</f>
        <v>Hpakant Town</v>
      </c>
      <c r="AF221" s="292">
        <f ca="1">IFERROR(OFFSET(DistanceToCamp[distance],MATCH(CampList[[#This Row],[CP_Pcode]],DistanceToCamp[CP_Pcode],0)-1,0,1,1),"")</f>
        <v>0</v>
      </c>
      <c r="AG221" s="306">
        <f ca="1">IFERROR(INT(CampList[[#This Row],[Distance]]/5)+1,"")</f>
        <v>1</v>
      </c>
      <c r="AI221" s="495"/>
      <c r="AJ221" s="495"/>
    </row>
    <row r="222" spans="2:36" s="226" customFormat="1" ht="15.75" hidden="1" customHeight="1" x14ac:dyDescent="0.25">
      <c r="B222" s="283" t="s">
        <v>777</v>
      </c>
      <c r="C222" s="274" t="s">
        <v>378</v>
      </c>
      <c r="D222" s="274" t="s">
        <v>479</v>
      </c>
      <c r="E222" s="274" t="s">
        <v>299</v>
      </c>
      <c r="F222" s="274" t="s">
        <v>500</v>
      </c>
      <c r="G222" s="274" t="s">
        <v>299</v>
      </c>
      <c r="H222" s="274" t="s">
        <v>506</v>
      </c>
      <c r="I222" s="274" t="s">
        <v>887</v>
      </c>
      <c r="J222" s="274" t="s">
        <v>888</v>
      </c>
      <c r="K222" s="274" t="s">
        <v>889</v>
      </c>
      <c r="L222" s="274">
        <v>167567</v>
      </c>
      <c r="M222" s="274" t="s">
        <v>817</v>
      </c>
      <c r="N222" s="274" t="s">
        <v>818</v>
      </c>
      <c r="O222" s="284">
        <v>97.58184</v>
      </c>
      <c r="P222" s="284">
        <v>27.270199999999999</v>
      </c>
      <c r="Q222" s="285">
        <v>372.9</v>
      </c>
      <c r="R222" s="305">
        <v>0</v>
      </c>
      <c r="S222" s="312">
        <v>0</v>
      </c>
      <c r="T222" s="287" t="str">
        <f>IF(CampList[[#This Row],[HH]]&gt;0,CampList[[#This Row],[Total]]/CampList[[#This Row],[HH]],"NA")</f>
        <v>NA</v>
      </c>
      <c r="U222" s="276" t="s">
        <v>465</v>
      </c>
      <c r="V222" s="294" t="s">
        <v>1013</v>
      </c>
      <c r="W222" s="276" t="s">
        <v>508</v>
      </c>
      <c r="X222" s="294" t="s">
        <v>786</v>
      </c>
      <c r="Y222" s="295">
        <v>41487</v>
      </c>
      <c r="Z222" s="295"/>
      <c r="AA222" s="274" t="s">
        <v>776</v>
      </c>
      <c r="AB222" s="290">
        <v>41725</v>
      </c>
      <c r="AC222" s="290"/>
      <c r="AD222" s="291" t="s">
        <v>1069</v>
      </c>
      <c r="AE222" s="276" t="str">
        <f ca="1">IFERROR(OFFSET(DistanceToCamp[Nearest Town],MATCH(CampList[[#This Row],[CP_Pcode]],DistanceToCamp[CP_Pcode],0)-1,0,1,1),"")</f>
        <v>Machanbaw Town</v>
      </c>
      <c r="AF222" s="292">
        <f ca="1">IFERROR(OFFSET(DistanceToCamp[distance],MATCH(CampList[[#This Row],[CP_Pcode]],DistanceToCamp[CP_Pcode],0)-1,0,1,1),"")</f>
        <v>1.7005689699647599</v>
      </c>
      <c r="AG222" s="293">
        <f ca="1">IFERROR(INT(CampList[[#This Row],[Distance]]/5)+1,"")</f>
        <v>1</v>
      </c>
      <c r="AI222" s="495"/>
      <c r="AJ222" s="495"/>
    </row>
    <row r="223" spans="2:36" s="226" customFormat="1" ht="15.75" customHeight="1" x14ac:dyDescent="0.25">
      <c r="B223" s="283" t="s">
        <v>460</v>
      </c>
      <c r="C223" s="274" t="s">
        <v>378</v>
      </c>
      <c r="D223" s="274" t="s">
        <v>479</v>
      </c>
      <c r="E223" s="274" t="s">
        <v>180</v>
      </c>
      <c r="F223" s="274" t="s">
        <v>480</v>
      </c>
      <c r="G223" s="274" t="s">
        <v>481</v>
      </c>
      <c r="H223" s="274" t="s">
        <v>482</v>
      </c>
      <c r="I223" s="275" t="s">
        <v>1181</v>
      </c>
      <c r="J223" s="300" t="s">
        <v>1182</v>
      </c>
      <c r="K223" s="275" t="s">
        <v>1189</v>
      </c>
      <c r="L223" s="275">
        <v>166819</v>
      </c>
      <c r="M223" s="21" t="s">
        <v>1187</v>
      </c>
      <c r="N223" s="275" t="s">
        <v>1193</v>
      </c>
      <c r="O223" s="330">
        <v>96.662092000000001</v>
      </c>
      <c r="P223" s="330">
        <v>25.920006000000001</v>
      </c>
      <c r="Q223" s="302"/>
      <c r="R223" s="414">
        <v>6</v>
      </c>
      <c r="S223" s="654">
        <v>15</v>
      </c>
      <c r="T223" s="287">
        <f>IF(CampList[[#This Row],[HH]]&gt;0,CampList[[#This Row],[Total]]/CampList[[#This Row],[HH]],"NA")</f>
        <v>2.5</v>
      </c>
      <c r="U223" s="224" t="s">
        <v>465</v>
      </c>
      <c r="V223" s="276" t="s">
        <v>1013</v>
      </c>
      <c r="W223" s="224" t="s">
        <v>508</v>
      </c>
      <c r="X223" s="224" t="s">
        <v>786</v>
      </c>
      <c r="Y223" s="422">
        <v>42584</v>
      </c>
      <c r="Z223" s="288" t="s">
        <v>943</v>
      </c>
      <c r="AA223" s="275" t="s">
        <v>776</v>
      </c>
      <c r="AB223" s="290">
        <v>43008</v>
      </c>
      <c r="AC223" s="290"/>
      <c r="AD223" s="304" t="s">
        <v>1331</v>
      </c>
      <c r="AE223" s="305" t="str">
        <f ca="1">IFERROR(OFFSET(DistanceToCamp[Nearest Town],MATCH(CampList[[#This Row],[CP_Pcode]],DistanceToCamp[CP_Pcode],0)-1,0,1,1),"")</f>
        <v>Hpakant Town</v>
      </c>
      <c r="AF223" s="292">
        <f ca="1">IFERROR(OFFSET(DistanceToCamp[distance],MATCH(CampList[[#This Row],[CP_Pcode]],DistanceToCamp[CP_Pcode],0)-1,0,1,1),"")</f>
        <v>0</v>
      </c>
      <c r="AG223" s="306">
        <f ca="1">IFERROR(INT(CampList[[#This Row],[Distance]]/5)+1,"")</f>
        <v>1</v>
      </c>
      <c r="AI223" s="495"/>
      <c r="AJ223" s="495"/>
    </row>
    <row r="224" spans="2:36" s="226" customFormat="1" ht="15.75" customHeight="1" x14ac:dyDescent="0.25">
      <c r="B224" s="283" t="s">
        <v>460</v>
      </c>
      <c r="C224" s="274" t="s">
        <v>378</v>
      </c>
      <c r="D224" s="274" t="s">
        <v>479</v>
      </c>
      <c r="E224" s="274" t="s">
        <v>180</v>
      </c>
      <c r="F224" s="274" t="s">
        <v>480</v>
      </c>
      <c r="G224" s="274" t="s">
        <v>481</v>
      </c>
      <c r="H224" s="274" t="s">
        <v>482</v>
      </c>
      <c r="I224" s="275" t="s">
        <v>1181</v>
      </c>
      <c r="J224" s="300" t="s">
        <v>1182</v>
      </c>
      <c r="K224" s="275" t="s">
        <v>1189</v>
      </c>
      <c r="L224" s="275">
        <v>166819</v>
      </c>
      <c r="M224" s="21" t="s">
        <v>1186</v>
      </c>
      <c r="N224" s="275" t="s">
        <v>1194</v>
      </c>
      <c r="O224" s="330">
        <v>96.662092000000001</v>
      </c>
      <c r="P224" s="330">
        <v>25.920006000000001</v>
      </c>
      <c r="Q224" s="302"/>
      <c r="R224" s="414">
        <v>18</v>
      </c>
      <c r="S224" s="414">
        <v>78</v>
      </c>
      <c r="T224" s="287">
        <f>IF(CampList[[#This Row],[HH]]&gt;0,CampList[[#This Row],[Total]]/CampList[[#This Row],[HH]],"NA")</f>
        <v>4.333333333333333</v>
      </c>
      <c r="U224" s="224" t="s">
        <v>465</v>
      </c>
      <c r="V224" s="276" t="s">
        <v>1013</v>
      </c>
      <c r="W224" s="224" t="s">
        <v>508</v>
      </c>
      <c r="X224" s="224" t="s">
        <v>786</v>
      </c>
      <c r="Y224" s="422">
        <v>42584</v>
      </c>
      <c r="Z224" s="288" t="s">
        <v>943</v>
      </c>
      <c r="AA224" s="275" t="s">
        <v>776</v>
      </c>
      <c r="AB224" s="290">
        <v>43008</v>
      </c>
      <c r="AC224" s="290"/>
      <c r="AD224" s="304" t="s">
        <v>1331</v>
      </c>
      <c r="AE224" s="305" t="str">
        <f ca="1">IFERROR(OFFSET(DistanceToCamp[Nearest Town],MATCH(CampList[[#This Row],[CP_Pcode]],DistanceToCamp[CP_Pcode],0)-1,0,1,1),"")</f>
        <v>Hpakant Town</v>
      </c>
      <c r="AF224" s="292">
        <f ca="1">IFERROR(OFFSET(DistanceToCamp[distance],MATCH(CampList[[#This Row],[CP_Pcode]],DistanceToCamp[CP_Pcode],0)-1,0,1,1),"")</f>
        <v>0</v>
      </c>
      <c r="AG224" s="306">
        <f ca="1">IFERROR(INT(CampList[[#This Row],[Distance]]/5)+1,"")</f>
        <v>1</v>
      </c>
      <c r="AI224" s="495"/>
      <c r="AJ224" s="495"/>
    </row>
    <row r="225" spans="2:36" s="226" customFormat="1" ht="15.75" customHeight="1" x14ac:dyDescent="0.25">
      <c r="B225" s="361" t="s">
        <v>460</v>
      </c>
      <c r="C225" s="275" t="s">
        <v>378</v>
      </c>
      <c r="D225" s="275" t="s">
        <v>479</v>
      </c>
      <c r="E225" s="275" t="s">
        <v>237</v>
      </c>
      <c r="F225" s="275" t="s">
        <v>485</v>
      </c>
      <c r="G225" s="275" t="s">
        <v>309</v>
      </c>
      <c r="H225" s="275" t="s">
        <v>486</v>
      </c>
      <c r="I225" s="275" t="s">
        <v>1284</v>
      </c>
      <c r="J225" s="300" t="s">
        <v>1285</v>
      </c>
      <c r="K225" s="275" t="s">
        <v>1286</v>
      </c>
      <c r="L225" s="275">
        <v>216822</v>
      </c>
      <c r="M225" s="275" t="s">
        <v>1290</v>
      </c>
      <c r="N225" s="275" t="s">
        <v>1287</v>
      </c>
      <c r="O225" s="286">
        <v>97.430321000000006</v>
      </c>
      <c r="P225" s="286">
        <v>25.305008999999998</v>
      </c>
      <c r="Q225" s="302"/>
      <c r="R225" s="286">
        <v>62</v>
      </c>
      <c r="S225" s="302">
        <v>410</v>
      </c>
      <c r="T225" s="287">
        <f>IF(CampList[[#This Row],[HH]]&gt;0,CampList[[#This Row],[Total]]/CampList[[#This Row],[HH]],"NA")</f>
        <v>6.612903225806452</v>
      </c>
      <c r="U225" s="224" t="s">
        <v>465</v>
      </c>
      <c r="V225" s="276" t="s">
        <v>1013</v>
      </c>
      <c r="W225" s="276" t="s">
        <v>1574</v>
      </c>
      <c r="X225" s="224" t="s">
        <v>786</v>
      </c>
      <c r="Y225" s="422"/>
      <c r="Z225" s="302"/>
      <c r="AA225" s="275" t="s">
        <v>1291</v>
      </c>
      <c r="AB225" s="290">
        <v>42888</v>
      </c>
      <c r="AC225" s="290"/>
      <c r="AD225" s="304" t="s">
        <v>1292</v>
      </c>
      <c r="AE225" s="305" t="str">
        <f ca="1">IFERROR(OFFSET(DistanceToCamp[Nearest Town],MATCH(CampList[[#This Row],[CP_Pcode]],DistanceToCamp[CP_Pcode],0)-1,0,1,1),"")</f>
        <v/>
      </c>
      <c r="AF225" s="292" t="str">
        <f ca="1">IFERROR(OFFSET(DistanceToCamp[distance],MATCH(CampList[[#This Row],[CP_Pcode]],DistanceToCamp[CP_Pcode],0)-1,0,1,1),"")</f>
        <v/>
      </c>
      <c r="AG225" s="306" t="str">
        <f ca="1">IFERROR(INT(CampList[[#This Row],[Distance]]/5)+1,"")</f>
        <v/>
      </c>
      <c r="AI225" s="495"/>
      <c r="AJ225" s="495"/>
    </row>
    <row r="226" spans="2:36" s="226" customFormat="1" ht="15.75" customHeight="1" x14ac:dyDescent="0.25">
      <c r="B226" s="361" t="s">
        <v>460</v>
      </c>
      <c r="C226" s="275" t="s">
        <v>378</v>
      </c>
      <c r="D226" s="275" t="s">
        <v>479</v>
      </c>
      <c r="E226" s="275" t="s">
        <v>237</v>
      </c>
      <c r="F226" s="275" t="s">
        <v>485</v>
      </c>
      <c r="G226" s="275" t="s">
        <v>309</v>
      </c>
      <c r="H226" s="275" t="s">
        <v>486</v>
      </c>
      <c r="I226" s="274" t="s">
        <v>696</v>
      </c>
      <c r="J226" s="274" t="s">
        <v>697</v>
      </c>
      <c r="K226" s="296" t="s">
        <v>1148</v>
      </c>
      <c r="L226" s="296">
        <v>165792</v>
      </c>
      <c r="M226" s="381" t="s">
        <v>1301</v>
      </c>
      <c r="N226" s="275" t="s">
        <v>1299</v>
      </c>
      <c r="O226" s="286"/>
      <c r="P226" s="286"/>
      <c r="Q226" s="302"/>
      <c r="R226" s="653">
        <v>408</v>
      </c>
      <c r="S226" s="653">
        <v>1888</v>
      </c>
      <c r="T226" s="287">
        <f>IF(CampList[[#This Row],[HH]]&gt;0,CampList[[#This Row],[Total]]/CampList[[#This Row],[HH]],"NA")</f>
        <v>4.6274509803921573</v>
      </c>
      <c r="U226" s="224" t="s">
        <v>467</v>
      </c>
      <c r="V226" s="276" t="s">
        <v>1013</v>
      </c>
      <c r="W226" s="224" t="s">
        <v>508</v>
      </c>
      <c r="X226" s="224" t="s">
        <v>786</v>
      </c>
      <c r="Y226" s="422">
        <v>42752</v>
      </c>
      <c r="Z226" s="302" t="s">
        <v>424</v>
      </c>
      <c r="AA226" s="275" t="s">
        <v>776</v>
      </c>
      <c r="AB226" s="290">
        <v>43008</v>
      </c>
      <c r="AC226" s="290"/>
      <c r="AD226" s="304" t="s">
        <v>1403</v>
      </c>
      <c r="AE226" s="305" t="str">
        <f ca="1">IFERROR(OFFSET(DistanceToCamp[Nearest Town],MATCH(CampList[[#This Row],[CP_Pcode]],DistanceToCamp[CP_Pcode],0)-1,0,1,1),"")</f>
        <v/>
      </c>
      <c r="AF226" s="292" t="str">
        <f ca="1">IFERROR(OFFSET(DistanceToCamp[distance],MATCH(CampList[[#This Row],[CP_Pcode]],DistanceToCamp[CP_Pcode],0)-1,0,1,1),"")</f>
        <v/>
      </c>
      <c r="AG226" s="306" t="str">
        <f ca="1">IFERROR(INT(CampList[[#This Row],[Distance]]/5)+1,"")</f>
        <v/>
      </c>
      <c r="AI226" s="495"/>
      <c r="AJ226" s="495"/>
    </row>
    <row r="227" spans="2:36" s="226" customFormat="1" ht="15.75" customHeight="1" x14ac:dyDescent="0.25">
      <c r="B227" s="361" t="s">
        <v>460</v>
      </c>
      <c r="C227" s="274" t="s">
        <v>378</v>
      </c>
      <c r="D227" s="274" t="s">
        <v>479</v>
      </c>
      <c r="E227" s="274" t="s">
        <v>180</v>
      </c>
      <c r="F227" s="274" t="s">
        <v>480</v>
      </c>
      <c r="G227" s="274" t="s">
        <v>481</v>
      </c>
      <c r="H227" s="274" t="s">
        <v>482</v>
      </c>
      <c r="I227" s="274" t="s">
        <v>553</v>
      </c>
      <c r="J227" s="300" t="s">
        <v>554</v>
      </c>
      <c r="K227" s="274" t="s">
        <v>1413</v>
      </c>
      <c r="L227" s="300">
        <v>220486</v>
      </c>
      <c r="M227" s="275" t="s">
        <v>1414</v>
      </c>
      <c r="N227" s="275" t="s">
        <v>1415</v>
      </c>
      <c r="O227" s="365"/>
      <c r="P227" s="365"/>
      <c r="Q227" s="366"/>
      <c r="R227" s="365">
        <v>118</v>
      </c>
      <c r="S227" s="365">
        <v>618</v>
      </c>
      <c r="T227" s="367">
        <f>IF(CampList[[#This Row],[HH]]&gt;0,CampList[[#This Row],[Total]]/CampList[[#This Row],[HH]],"NA")</f>
        <v>5.2372881355932206</v>
      </c>
      <c r="U227" s="222" t="s">
        <v>465</v>
      </c>
      <c r="V227" s="368" t="s">
        <v>1013</v>
      </c>
      <c r="W227" s="222" t="s">
        <v>508</v>
      </c>
      <c r="X227" s="222" t="s">
        <v>786</v>
      </c>
      <c r="Y227" s="479">
        <v>42887</v>
      </c>
      <c r="Z227" s="366" t="s">
        <v>424</v>
      </c>
      <c r="AA227" s="362" t="s">
        <v>776</v>
      </c>
      <c r="AB227" s="290">
        <v>43008</v>
      </c>
      <c r="AC227" s="370"/>
      <c r="AD227" s="392" t="s">
        <v>1416</v>
      </c>
      <c r="AE227" s="372" t="str">
        <f ca="1">IFERROR(OFFSET(DistanceToCamp[Nearest Town],MATCH(CampList[[#This Row],[CP_Pcode]],DistanceToCamp[CP_Pcode],0)-1,0,1,1),"")</f>
        <v/>
      </c>
      <c r="AF227" s="373" t="str">
        <f ca="1">IFERROR(OFFSET(DistanceToCamp[distance],MATCH(CampList[[#This Row],[CP_Pcode]],DistanceToCamp[CP_Pcode],0)-1,0,1,1),"")</f>
        <v/>
      </c>
      <c r="AG227" s="374" t="str">
        <f ca="1">IFERROR(INT(CampList[[#This Row],[Distance]]/5)+1,"")</f>
        <v/>
      </c>
      <c r="AI227" s="495"/>
      <c r="AJ227" s="495"/>
    </row>
    <row r="228" spans="2:36" s="226" customFormat="1" ht="15.75" hidden="1" customHeight="1" x14ac:dyDescent="0.25">
      <c r="B228" s="283" t="s">
        <v>777</v>
      </c>
      <c r="C228" s="274" t="s">
        <v>378</v>
      </c>
      <c r="D228" s="274" t="s">
        <v>479</v>
      </c>
      <c r="E228" s="274" t="s">
        <v>237</v>
      </c>
      <c r="F228" s="274" t="s">
        <v>485</v>
      </c>
      <c r="G228" s="274" t="s">
        <v>309</v>
      </c>
      <c r="H228" s="274" t="s">
        <v>486</v>
      </c>
      <c r="I228" s="291" t="s">
        <v>690</v>
      </c>
      <c r="J228" s="291" t="s">
        <v>691</v>
      </c>
      <c r="K228" s="291" t="s">
        <v>690</v>
      </c>
      <c r="L228" s="291">
        <v>165750</v>
      </c>
      <c r="M228" s="274" t="s">
        <v>1052</v>
      </c>
      <c r="N228" s="274" t="s">
        <v>358</v>
      </c>
      <c r="O228" s="284"/>
      <c r="P228" s="284"/>
      <c r="Q228" s="302"/>
      <c r="R228" s="376"/>
      <c r="S228" s="377"/>
      <c r="T228" s="287" t="str">
        <f>IF(CampList[[#This Row],[HH]]&gt;0,CampList[[#This Row],[Total]]/CampList[[#This Row],[HH]],"NA")</f>
        <v>NA</v>
      </c>
      <c r="U228" s="276" t="s">
        <v>465</v>
      </c>
      <c r="V228" s="294" t="s">
        <v>1013</v>
      </c>
      <c r="W228" s="276" t="s">
        <v>508</v>
      </c>
      <c r="X228" s="294"/>
      <c r="Y228" s="310"/>
      <c r="Z228" s="311"/>
      <c r="AA228" s="308"/>
      <c r="AB228" s="314"/>
      <c r="AC228" s="314"/>
      <c r="AD228" s="283" t="s">
        <v>542</v>
      </c>
      <c r="AE228" s="276" t="str">
        <f ca="1">IFERROR(OFFSET(DistanceToCamp[Nearest Town],MATCH(CampList[[#This Row],[CP_Pcode]],DistanceToCamp[CP_Pcode],0)-1,0,1,1),"")</f>
        <v/>
      </c>
      <c r="AF228" s="292" t="str">
        <f ca="1">IFERROR(OFFSET(DistanceToCamp[distance],MATCH(CampList[[#This Row],[CP_Pcode]],DistanceToCamp[CP_Pcode],0)-1,0,1,1),"")</f>
        <v/>
      </c>
      <c r="AG228" s="293" t="str">
        <f ca="1">IFERROR(INT(CampList[[#This Row],[Distance]]/5)+1,"")</f>
        <v/>
      </c>
      <c r="AI228" s="495"/>
      <c r="AJ228" s="495"/>
    </row>
    <row r="229" spans="2:36" s="226" customFormat="1" ht="15.75" hidden="1" customHeight="1" x14ac:dyDescent="0.25">
      <c r="B229" s="326" t="s">
        <v>777</v>
      </c>
      <c r="C229" s="274" t="s">
        <v>507</v>
      </c>
      <c r="D229" s="274" t="s">
        <v>490</v>
      </c>
      <c r="E229" s="274" t="s">
        <v>230</v>
      </c>
      <c r="F229" s="274" t="s">
        <v>491</v>
      </c>
      <c r="G229" s="274" t="s">
        <v>230</v>
      </c>
      <c r="H229" s="274" t="s">
        <v>492</v>
      </c>
      <c r="I229" s="274" t="s">
        <v>885</v>
      </c>
      <c r="J229" s="274" t="s">
        <v>884</v>
      </c>
      <c r="K229" s="274" t="s">
        <v>886</v>
      </c>
      <c r="L229" s="300">
        <v>208182</v>
      </c>
      <c r="M229" s="274" t="s">
        <v>359</v>
      </c>
      <c r="N229" s="274" t="s">
        <v>773</v>
      </c>
      <c r="O229" s="284">
        <v>98.139397000000002</v>
      </c>
      <c r="P229" s="284">
        <v>23.933098999999999</v>
      </c>
      <c r="Q229" s="285">
        <v>0</v>
      </c>
      <c r="R229" s="415">
        <v>9</v>
      </c>
      <c r="S229" s="416">
        <v>44</v>
      </c>
      <c r="T229" s="287">
        <f>IF(CampList[[#This Row],[HH]]&gt;0,CampList[[#This Row],[Total]]/CampList[[#This Row],[HH]],"NA")</f>
        <v>4.8888888888888893</v>
      </c>
      <c r="U229" s="276" t="s">
        <v>467</v>
      </c>
      <c r="V229" s="276" t="s">
        <v>1013</v>
      </c>
      <c r="W229" s="276" t="s">
        <v>1574</v>
      </c>
      <c r="X229" s="276" t="s">
        <v>786</v>
      </c>
      <c r="Y229" s="288">
        <v>40787</v>
      </c>
      <c r="Z229" s="288"/>
      <c r="AA229" s="308" t="s">
        <v>776</v>
      </c>
      <c r="AB229" s="290">
        <v>42888</v>
      </c>
      <c r="AC229" s="290"/>
      <c r="AD229" s="283" t="s">
        <v>1754</v>
      </c>
      <c r="AE229" s="276" t="str">
        <f ca="1">IFERROR(OFFSET(DistanceToCamp[Nearest Town],MATCH(CampList[[#This Row],[CP_Pcode]],DistanceToCamp[CP_Pcode],0)-1,0,1,1),"")</f>
        <v/>
      </c>
      <c r="AF229" s="292" t="str">
        <f ca="1">IFERROR(OFFSET(DistanceToCamp[distance],MATCH(CampList[[#This Row],[CP_Pcode]],DistanceToCamp[CP_Pcode],0)-1,0,1,1),"")</f>
        <v/>
      </c>
      <c r="AG229" s="293" t="str">
        <f ca="1">IFERROR(INT(CampList[[#This Row],[Distance]]/5)+1,"")</f>
        <v/>
      </c>
      <c r="AI229" s="495"/>
      <c r="AJ229" s="495"/>
    </row>
    <row r="230" spans="2:36" s="226" customFormat="1" ht="15.75" customHeight="1" x14ac:dyDescent="0.25">
      <c r="B230" s="283" t="s">
        <v>460</v>
      </c>
      <c r="C230" s="274" t="s">
        <v>507</v>
      </c>
      <c r="D230" s="274" t="s">
        <v>490</v>
      </c>
      <c r="E230" s="274" t="s">
        <v>718</v>
      </c>
      <c r="F230" s="274" t="s">
        <v>719</v>
      </c>
      <c r="G230" s="274" t="s">
        <v>720</v>
      </c>
      <c r="H230" s="274" t="s">
        <v>721</v>
      </c>
      <c r="I230" s="274" t="s">
        <v>722</v>
      </c>
      <c r="J230" s="274" t="s">
        <v>723</v>
      </c>
      <c r="K230" s="274" t="s">
        <v>722</v>
      </c>
      <c r="L230" s="274">
        <v>206422</v>
      </c>
      <c r="M230" s="274" t="s">
        <v>536</v>
      </c>
      <c r="N230" s="274" t="s">
        <v>774</v>
      </c>
      <c r="O230" s="284">
        <v>98.352670000000003</v>
      </c>
      <c r="P230" s="284">
        <v>23.372409999999999</v>
      </c>
      <c r="Q230" s="285">
        <v>617.6</v>
      </c>
      <c r="R230" s="285">
        <v>67</v>
      </c>
      <c r="S230" s="302">
        <v>392</v>
      </c>
      <c r="T230" s="287">
        <f>IF(CampList[[#This Row],[HH]]&gt;0,CampList[[#This Row],[Total]]/CampList[[#This Row],[HH]],"NA")</f>
        <v>5.8507462686567164</v>
      </c>
      <c r="U230" s="276" t="s">
        <v>467</v>
      </c>
      <c r="V230" s="276" t="s">
        <v>1013</v>
      </c>
      <c r="W230" s="276" t="s">
        <v>12</v>
      </c>
      <c r="X230" s="276" t="s">
        <v>786</v>
      </c>
      <c r="Y230" s="288">
        <v>41365</v>
      </c>
      <c r="Z230" s="288"/>
      <c r="AA230" s="274" t="s">
        <v>776</v>
      </c>
      <c r="AB230" s="290">
        <v>41699</v>
      </c>
      <c r="AC230" s="290">
        <v>42927</v>
      </c>
      <c r="AD230" s="291" t="s">
        <v>1766</v>
      </c>
      <c r="AE230" s="276" t="str">
        <f ca="1">IFERROR(OFFSET(DistanceToCamp[Nearest Town],MATCH(CampList[[#This Row],[CP_Pcode]],DistanceToCamp[CP_Pcode],0)-1,0,1,1),"")</f>
        <v>Kunlong Town</v>
      </c>
      <c r="AF230" s="292">
        <f ca="1">IFERROR(OFFSET(DistanceToCamp[distance],MATCH(CampList[[#This Row],[CP_Pcode]],DistanceToCamp[CP_Pcode],0)-1,0,1,1),"")</f>
        <v>30.037709702375544</v>
      </c>
      <c r="AG230" s="293">
        <f ca="1">IFERROR(INT(CampList[[#This Row],[Distance]]/5)+1,"")</f>
        <v>7</v>
      </c>
      <c r="AI230" s="495"/>
      <c r="AJ230" s="495"/>
    </row>
    <row r="231" spans="2:36" s="226" customFormat="1" ht="15.75" hidden="1" customHeight="1" x14ac:dyDescent="0.25">
      <c r="B231" s="283" t="s">
        <v>777</v>
      </c>
      <c r="C231" s="274" t="s">
        <v>378</v>
      </c>
      <c r="D231" s="274" t="s">
        <v>479</v>
      </c>
      <c r="E231" s="274" t="s">
        <v>180</v>
      </c>
      <c r="F231" s="274" t="s">
        <v>480</v>
      </c>
      <c r="G231" s="274" t="s">
        <v>481</v>
      </c>
      <c r="H231" s="274" t="s">
        <v>482</v>
      </c>
      <c r="I231" s="291" t="s">
        <v>544</v>
      </c>
      <c r="J231" s="291" t="s">
        <v>545</v>
      </c>
      <c r="K231" s="291" t="s">
        <v>546</v>
      </c>
      <c r="L231" s="291" t="s">
        <v>547</v>
      </c>
      <c r="M231" s="274" t="s">
        <v>110</v>
      </c>
      <c r="N231" s="274" t="s">
        <v>109</v>
      </c>
      <c r="O231" s="284">
        <v>96.312790000000007</v>
      </c>
      <c r="P231" s="284">
        <v>25.611160000000002</v>
      </c>
      <c r="Q231" s="285">
        <v>0</v>
      </c>
      <c r="R231" s="376">
        <v>0</v>
      </c>
      <c r="S231" s="377">
        <v>0</v>
      </c>
      <c r="T231" s="287" t="str">
        <f>IF(CampList[[#This Row],[HH]]&gt;0,CampList[[#This Row],[Total]]/CampList[[#This Row],[HH]],"NA")</f>
        <v>NA</v>
      </c>
      <c r="U231" s="276" t="s">
        <v>465</v>
      </c>
      <c r="V231" s="294" t="s">
        <v>1013</v>
      </c>
      <c r="W231" s="276" t="s">
        <v>508</v>
      </c>
      <c r="X231" s="294" t="s">
        <v>743</v>
      </c>
      <c r="Y231" s="295">
        <v>41122</v>
      </c>
      <c r="Z231" s="295" t="s">
        <v>424</v>
      </c>
      <c r="AA231" s="308" t="s">
        <v>776</v>
      </c>
      <c r="AB231" s="290">
        <v>41774</v>
      </c>
      <c r="AC231" s="290"/>
      <c r="AD231" s="283" t="s">
        <v>901</v>
      </c>
      <c r="AE231" s="276" t="str">
        <f ca="1">IFERROR(OFFSET(DistanceToCamp[Nearest Town],MATCH(CampList[[#This Row],[CP_Pcode]],DistanceToCamp[CP_Pcode],0)-1,0,1,1),"")</f>
        <v/>
      </c>
      <c r="AF231" s="292" t="str">
        <f ca="1">IFERROR(OFFSET(DistanceToCamp[distance],MATCH(CampList[[#This Row],[CP_Pcode]],DistanceToCamp[CP_Pcode],0)-1,0,1,1),"")</f>
        <v/>
      </c>
      <c r="AG231" s="293" t="str">
        <f ca="1">IFERROR(INT(CampList[[#This Row],[Distance]]/5)+1,"")</f>
        <v/>
      </c>
      <c r="AI231" s="495"/>
      <c r="AJ231" s="495"/>
    </row>
    <row r="232" spans="2:36" s="226" customFormat="1" ht="16.149999999999999" customHeight="1" x14ac:dyDescent="0.25">
      <c r="B232" s="299" t="s">
        <v>460</v>
      </c>
      <c r="C232" s="275" t="s">
        <v>507</v>
      </c>
      <c r="D232" s="275" t="s">
        <v>490</v>
      </c>
      <c r="E232" s="275" t="s">
        <v>495</v>
      </c>
      <c r="F232" s="275" t="s">
        <v>496</v>
      </c>
      <c r="G232" s="275" t="s">
        <v>166</v>
      </c>
      <c r="H232" s="275" t="s">
        <v>497</v>
      </c>
      <c r="I232" s="275" t="s">
        <v>743</v>
      </c>
      <c r="J232" s="300" t="s">
        <v>971</v>
      </c>
      <c r="K232" s="275" t="s">
        <v>657</v>
      </c>
      <c r="L232" s="275" t="s">
        <v>1131</v>
      </c>
      <c r="M232" s="275" t="s">
        <v>762</v>
      </c>
      <c r="N232" s="275" t="s">
        <v>763</v>
      </c>
      <c r="O232" s="286">
        <v>97.116680000000002</v>
      </c>
      <c r="P232" s="286">
        <v>23.24661</v>
      </c>
      <c r="Q232" s="302">
        <v>87.3</v>
      </c>
      <c r="R232" s="286">
        <v>29</v>
      </c>
      <c r="S232" s="302">
        <v>168</v>
      </c>
      <c r="T232" s="287">
        <f>IF(CampList[[#This Row],[HH]]&gt;0,CampList[[#This Row],[Total]]/CampList[[#This Row],[HH]],"NA")</f>
        <v>5.7931034482758621</v>
      </c>
      <c r="U232" s="224" t="s">
        <v>465</v>
      </c>
      <c r="V232" s="276" t="s">
        <v>1013</v>
      </c>
      <c r="W232" s="224" t="s">
        <v>508</v>
      </c>
      <c r="X232" s="224" t="s">
        <v>743</v>
      </c>
      <c r="Y232" s="303">
        <v>41030</v>
      </c>
      <c r="Z232" s="302" t="s">
        <v>1066</v>
      </c>
      <c r="AA232" s="275" t="s">
        <v>776</v>
      </c>
      <c r="AB232" s="290">
        <v>43008</v>
      </c>
      <c r="AC232" s="290"/>
      <c r="AD232" s="304" t="s">
        <v>1571</v>
      </c>
      <c r="AE232" s="305" t="str">
        <f ca="1">IFERROR(OFFSET(DistanceToCamp[Nearest Town],MATCH(CampList[[#This Row],[CP_Pcode]],DistanceToCamp[CP_Pcode],0)-1,0,1,1),"")</f>
        <v>Manton Town</v>
      </c>
      <c r="AF232" s="292">
        <f ca="1">IFERROR(OFFSET(DistanceToCamp[distance],MATCH(CampList[[#This Row],[CP_Pcode]],DistanceToCamp[CP_Pcode],0)-1,0,1,1),"")</f>
        <v>0.71762888500316424</v>
      </c>
      <c r="AG232" s="306">
        <f ca="1">IFERROR(INT(CampList[[#This Row],[Distance]]/5)+1,"")</f>
        <v>1</v>
      </c>
      <c r="AI232" s="495"/>
      <c r="AJ232" s="495"/>
    </row>
    <row r="233" spans="2:36" s="226" customFormat="1" ht="23.45" hidden="1" customHeight="1" x14ac:dyDescent="0.25">
      <c r="B233" s="283" t="s">
        <v>777</v>
      </c>
      <c r="C233" s="274" t="s">
        <v>507</v>
      </c>
      <c r="D233" s="274" t="s">
        <v>490</v>
      </c>
      <c r="E233" s="274" t="s">
        <v>495</v>
      </c>
      <c r="F233" s="274" t="s">
        <v>496</v>
      </c>
      <c r="G233" s="274" t="s">
        <v>297</v>
      </c>
      <c r="H233" s="274" t="s">
        <v>504</v>
      </c>
      <c r="I233" s="309" t="s">
        <v>757</v>
      </c>
      <c r="J233" s="274" t="s">
        <v>758</v>
      </c>
      <c r="K233" s="309" t="s">
        <v>759</v>
      </c>
      <c r="L233" s="309" t="s">
        <v>760</v>
      </c>
      <c r="M233" s="274" t="s">
        <v>535</v>
      </c>
      <c r="N233" s="274" t="s">
        <v>764</v>
      </c>
      <c r="O233" s="284">
        <v>97.398989</v>
      </c>
      <c r="P233" s="284">
        <v>23.088058</v>
      </c>
      <c r="Q233" s="285">
        <v>1948</v>
      </c>
      <c r="R233" s="415">
        <v>118</v>
      </c>
      <c r="S233" s="416">
        <v>520</v>
      </c>
      <c r="T233" s="287">
        <f>IF(CampList[[#This Row],[HH]]&gt;0,CampList[[#This Row],[Total]]/CampList[[#This Row],[HH]],"NA")</f>
        <v>4.406779661016949</v>
      </c>
      <c r="U233" s="276" t="s">
        <v>465</v>
      </c>
      <c r="V233" s="276" t="s">
        <v>1013</v>
      </c>
      <c r="W233" s="276" t="s">
        <v>12</v>
      </c>
      <c r="X233" s="276" t="s">
        <v>743</v>
      </c>
      <c r="Y233" s="288"/>
      <c r="Z233" s="288"/>
      <c r="AA233" s="308" t="s">
        <v>776</v>
      </c>
      <c r="AB233" s="290">
        <v>41883</v>
      </c>
      <c r="AC233" s="290"/>
      <c r="AD233" s="283" t="s">
        <v>1586</v>
      </c>
      <c r="AE233" s="276" t="str">
        <f ca="1">IFERROR(OFFSET(DistanceToCamp[Nearest Town],MATCH(CampList[[#This Row],[CP_Pcode]],DistanceToCamp[CP_Pcode],0)-1,0,1,1),"")</f>
        <v>Namtu Town</v>
      </c>
      <c r="AF233" s="292">
        <f ca="1">IFERROR(OFFSET(DistanceToCamp[distance],MATCH(CampList[[#This Row],[CP_Pcode]],DistanceToCamp[CP_Pcode],0)-1,0,1,1),"")</f>
        <v>0.63626694856259092</v>
      </c>
      <c r="AG233" s="293">
        <f ca="1">IFERROR(INT(CampList[[#This Row],[Distance]]/5)+1,"")</f>
        <v>1</v>
      </c>
      <c r="AI233" s="495"/>
      <c r="AJ233" s="495"/>
    </row>
    <row r="234" spans="2:36" s="226" customFormat="1" ht="15.75" hidden="1" customHeight="1" x14ac:dyDescent="0.25">
      <c r="B234" s="326" t="s">
        <v>777</v>
      </c>
      <c r="C234" s="274" t="s">
        <v>507</v>
      </c>
      <c r="D234" s="274" t="s">
        <v>490</v>
      </c>
      <c r="E234" s="274" t="s">
        <v>230</v>
      </c>
      <c r="F234" s="274" t="s">
        <v>491</v>
      </c>
      <c r="G234" s="274" t="s">
        <v>146</v>
      </c>
      <c r="H234" s="274" t="s">
        <v>498</v>
      </c>
      <c r="I234" s="274" t="s">
        <v>838</v>
      </c>
      <c r="J234" s="274"/>
      <c r="K234" s="274" t="s">
        <v>838</v>
      </c>
      <c r="L234" s="274"/>
      <c r="M234" s="274" t="s">
        <v>839</v>
      </c>
      <c r="N234" s="274" t="s">
        <v>840</v>
      </c>
      <c r="O234" s="286"/>
      <c r="P234" s="286"/>
      <c r="Q234" s="302"/>
      <c r="R234" s="376">
        <v>0</v>
      </c>
      <c r="S234" s="377">
        <v>0</v>
      </c>
      <c r="T234" s="287" t="str">
        <f>IF(CampList[[#This Row],[HH]]&gt;0,CampList[[#This Row],[Total]]/CampList[[#This Row],[HH]],"NA")</f>
        <v>NA</v>
      </c>
      <c r="U234" s="276" t="s">
        <v>467</v>
      </c>
      <c r="V234" s="294" t="s">
        <v>1013</v>
      </c>
      <c r="W234" s="276" t="s">
        <v>508</v>
      </c>
      <c r="X234" s="276" t="s">
        <v>786</v>
      </c>
      <c r="Y234" s="303"/>
      <c r="Z234" s="289"/>
      <c r="AA234" s="274" t="s">
        <v>776</v>
      </c>
      <c r="AB234" s="290">
        <v>41289</v>
      </c>
      <c r="AC234" s="290"/>
      <c r="AD234" s="291" t="s">
        <v>844</v>
      </c>
      <c r="AE234" s="276" t="str">
        <f ca="1">IFERROR(OFFSET(DistanceToCamp[Nearest Town],MATCH(CampList[[#This Row],[CP_Pcode]],DistanceToCamp[CP_Pcode],0)-1,0,1,1),"")</f>
        <v/>
      </c>
      <c r="AF234" s="292" t="str">
        <f ca="1">IFERROR(OFFSET(DistanceToCamp[distance],MATCH(CampList[[#This Row],[CP_Pcode]],DistanceToCamp[CP_Pcode],0)-1,0,1,1),"")</f>
        <v/>
      </c>
      <c r="AG234" s="293" t="str">
        <f ca="1">IFERROR(INT(CampList[[#This Row],[Distance]]/5)+1,"")</f>
        <v/>
      </c>
      <c r="AI234" s="495"/>
      <c r="AJ234" s="495"/>
    </row>
    <row r="235" spans="2:36" s="226" customFormat="1" ht="15.75" hidden="1" customHeight="1" x14ac:dyDescent="0.25">
      <c r="B235" s="283" t="s">
        <v>777</v>
      </c>
      <c r="C235" s="274" t="s">
        <v>378</v>
      </c>
      <c r="D235" s="274" t="s">
        <v>479</v>
      </c>
      <c r="E235" s="274" t="s">
        <v>180</v>
      </c>
      <c r="F235" s="274" t="s">
        <v>480</v>
      </c>
      <c r="G235" s="274" t="s">
        <v>481</v>
      </c>
      <c r="H235" s="274" t="s">
        <v>482</v>
      </c>
      <c r="I235" s="291" t="s">
        <v>544</v>
      </c>
      <c r="J235" s="291" t="s">
        <v>545</v>
      </c>
      <c r="K235" s="291" t="s">
        <v>546</v>
      </c>
      <c r="L235" s="291" t="s">
        <v>547</v>
      </c>
      <c r="M235" s="274" t="s">
        <v>112</v>
      </c>
      <c r="N235" s="274" t="s">
        <v>111</v>
      </c>
      <c r="O235" s="284">
        <v>96.31326</v>
      </c>
      <c r="P235" s="284">
        <v>25.611899999999999</v>
      </c>
      <c r="Q235" s="302"/>
      <c r="R235" s="376">
        <v>0</v>
      </c>
      <c r="S235" s="377">
        <v>0</v>
      </c>
      <c r="T235" s="287" t="str">
        <f>IF(CampList[[#This Row],[HH]]&gt;0,CampList[[#This Row],[Total]]/CampList[[#This Row],[HH]],"NA")</f>
        <v>NA</v>
      </c>
      <c r="U235" s="276" t="s">
        <v>465</v>
      </c>
      <c r="V235" s="294" t="s">
        <v>1013</v>
      </c>
      <c r="W235" s="276" t="s">
        <v>508</v>
      </c>
      <c r="X235" s="294"/>
      <c r="Y235" s="310"/>
      <c r="Z235" s="311"/>
      <c r="AA235" s="308"/>
      <c r="AB235" s="314"/>
      <c r="AC235" s="314"/>
      <c r="AD235" s="283" t="s">
        <v>542</v>
      </c>
      <c r="AE235" s="276" t="str">
        <f ca="1">IFERROR(OFFSET(DistanceToCamp[Nearest Town],MATCH(CampList[[#This Row],[CP_Pcode]],DistanceToCamp[CP_Pcode],0)-1,0,1,1),"")</f>
        <v/>
      </c>
      <c r="AF235" s="292" t="str">
        <f ca="1">IFERROR(OFFSET(DistanceToCamp[distance],MATCH(CampList[[#This Row],[CP_Pcode]],DistanceToCamp[CP_Pcode],0)-1,0,1,1),"")</f>
        <v/>
      </c>
      <c r="AG235" s="293" t="str">
        <f ca="1">IFERROR(INT(CampList[[#This Row],[Distance]]/5)+1,"")</f>
        <v/>
      </c>
      <c r="AI235" s="495"/>
      <c r="AJ235" s="495"/>
    </row>
    <row r="236" spans="2:36" s="204" customFormat="1" ht="15.75" hidden="1" customHeight="1" x14ac:dyDescent="0.25">
      <c r="B236" s="283" t="s">
        <v>777</v>
      </c>
      <c r="C236" s="274" t="s">
        <v>378</v>
      </c>
      <c r="D236" s="274" t="s">
        <v>479</v>
      </c>
      <c r="E236" s="274" t="s">
        <v>5</v>
      </c>
      <c r="F236" s="274" t="s">
        <v>483</v>
      </c>
      <c r="G236" s="274" t="s">
        <v>185</v>
      </c>
      <c r="H236" s="274" t="s">
        <v>487</v>
      </c>
      <c r="I236" s="274" t="s">
        <v>603</v>
      </c>
      <c r="J236" s="274" t="s">
        <v>604</v>
      </c>
      <c r="K236" s="274" t="s">
        <v>605</v>
      </c>
      <c r="L236" s="274" t="s">
        <v>606</v>
      </c>
      <c r="M236" s="274" t="s">
        <v>217</v>
      </c>
      <c r="N236" s="274" t="s">
        <v>216</v>
      </c>
      <c r="O236" s="284">
        <v>97.347740000000002</v>
      </c>
      <c r="P236" s="284">
        <v>24.253769999999999</v>
      </c>
      <c r="Q236" s="285">
        <v>0</v>
      </c>
      <c r="R236" s="305"/>
      <c r="S236" s="312"/>
      <c r="T236" s="287" t="str">
        <f>IF(CampList[[#This Row],[HH]]&gt;0,CampList[[#This Row],[Total]]/CampList[[#This Row],[HH]],"NA")</f>
        <v>NA</v>
      </c>
      <c r="U236" s="276" t="s">
        <v>465</v>
      </c>
      <c r="V236" s="294" t="s">
        <v>1013</v>
      </c>
      <c r="W236" s="276" t="s">
        <v>508</v>
      </c>
      <c r="X236" s="294" t="s">
        <v>743</v>
      </c>
      <c r="Y236" s="295">
        <v>40817</v>
      </c>
      <c r="Z236" s="295" t="s">
        <v>462</v>
      </c>
      <c r="AA236" s="274" t="s">
        <v>776</v>
      </c>
      <c r="AB236" s="290">
        <v>42537</v>
      </c>
      <c r="AC236" s="290"/>
      <c r="AD236" s="291" t="s">
        <v>1144</v>
      </c>
      <c r="AE236" s="276" t="str">
        <f ca="1">IFERROR(OFFSET(DistanceToCamp[Nearest Town],MATCH(CampList[[#This Row],[CP_Pcode]],DistanceToCamp[CP_Pcode],0)-1,0,1,1),"")</f>
        <v>Momauk Town</v>
      </c>
      <c r="AF236" s="292">
        <f ca="1">IFERROR(OFFSET(DistanceToCamp[distance],MATCH(CampList[[#This Row],[CP_Pcode]],DistanceToCamp[CP_Pcode],0)-1,0,1,1),"")</f>
        <v>0.32830807173487342</v>
      </c>
      <c r="AG236" s="293">
        <f ca="1">IFERROR(INT(CampList[[#This Row],[Distance]]/5)+1,"")</f>
        <v>1</v>
      </c>
      <c r="AI236" s="495"/>
      <c r="AJ236" s="495"/>
    </row>
    <row r="237" spans="2:36" s="226" customFormat="1" ht="15.75" hidden="1" customHeight="1" x14ac:dyDescent="0.25">
      <c r="B237" s="283" t="s">
        <v>777</v>
      </c>
      <c r="C237" s="274" t="s">
        <v>378</v>
      </c>
      <c r="D237" s="274" t="s">
        <v>479</v>
      </c>
      <c r="E237" s="274" t="s">
        <v>180</v>
      </c>
      <c r="F237" s="274" t="s">
        <v>480</v>
      </c>
      <c r="G237" s="274" t="s">
        <v>481</v>
      </c>
      <c r="H237" s="274" t="s">
        <v>482</v>
      </c>
      <c r="I237" s="291" t="s">
        <v>544</v>
      </c>
      <c r="J237" s="291" t="s">
        <v>545</v>
      </c>
      <c r="K237" s="291" t="s">
        <v>644</v>
      </c>
      <c r="L237" s="291" t="s">
        <v>645</v>
      </c>
      <c r="M237" s="274" t="s">
        <v>114</v>
      </c>
      <c r="N237" s="274" t="s">
        <v>113</v>
      </c>
      <c r="O237" s="284"/>
      <c r="P237" s="284"/>
      <c r="Q237" s="302"/>
      <c r="R237" s="376">
        <v>0</v>
      </c>
      <c r="S237" s="377">
        <v>0</v>
      </c>
      <c r="T237" s="287" t="str">
        <f>IF(CampList[[#This Row],[HH]]&gt;0,CampList[[#This Row],[Total]]/CampList[[#This Row],[HH]],"NA")</f>
        <v>NA</v>
      </c>
      <c r="U237" s="276" t="s">
        <v>465</v>
      </c>
      <c r="V237" s="294" t="s">
        <v>1013</v>
      </c>
      <c r="W237" s="276" t="s">
        <v>508</v>
      </c>
      <c r="X237" s="294"/>
      <c r="Y237" s="310"/>
      <c r="Z237" s="311"/>
      <c r="AA237" s="308"/>
      <c r="AB237" s="314"/>
      <c r="AC237" s="314"/>
      <c r="AD237" s="283" t="s">
        <v>542</v>
      </c>
      <c r="AE237" s="276" t="str">
        <f ca="1">IFERROR(OFFSET(DistanceToCamp[Nearest Town],MATCH(CampList[[#This Row],[CP_Pcode]],DistanceToCamp[CP_Pcode],0)-1,0,1,1),"")</f>
        <v/>
      </c>
      <c r="AF237" s="292" t="str">
        <f ca="1">IFERROR(OFFSET(DistanceToCamp[distance],MATCH(CampList[[#This Row],[CP_Pcode]],DistanceToCamp[CP_Pcode],0)-1,0,1,1),"")</f>
        <v/>
      </c>
      <c r="AG237" s="293" t="str">
        <f ca="1">IFERROR(INT(CampList[[#This Row],[Distance]]/5)+1,"")</f>
        <v/>
      </c>
      <c r="AI237" s="495"/>
      <c r="AJ237" s="495"/>
    </row>
    <row r="238" spans="2:36" s="226" customFormat="1" ht="15.75" hidden="1" customHeight="1" x14ac:dyDescent="0.25">
      <c r="B238" s="326" t="s">
        <v>777</v>
      </c>
      <c r="C238" s="274" t="s">
        <v>507</v>
      </c>
      <c r="D238" s="274" t="s">
        <v>490</v>
      </c>
      <c r="E238" s="274" t="s">
        <v>230</v>
      </c>
      <c r="F238" s="274" t="s">
        <v>491</v>
      </c>
      <c r="G238" s="274" t="s">
        <v>146</v>
      </c>
      <c r="H238" s="274" t="s">
        <v>498</v>
      </c>
      <c r="I238" s="274" t="s">
        <v>838</v>
      </c>
      <c r="J238" s="274"/>
      <c r="K238" s="274" t="s">
        <v>838</v>
      </c>
      <c r="L238" s="274"/>
      <c r="M238" s="274" t="s">
        <v>841</v>
      </c>
      <c r="N238" s="274" t="s">
        <v>842</v>
      </c>
      <c r="O238" s="286"/>
      <c r="P238" s="286"/>
      <c r="Q238" s="302"/>
      <c r="R238" s="376">
        <v>0</v>
      </c>
      <c r="S238" s="377">
        <v>0</v>
      </c>
      <c r="T238" s="287" t="str">
        <f>IF(CampList[[#This Row],[HH]]&gt;0,CampList[[#This Row],[Total]]/CampList[[#This Row],[HH]],"NA")</f>
        <v>NA</v>
      </c>
      <c r="U238" s="276" t="s">
        <v>467</v>
      </c>
      <c r="V238" s="294" t="s">
        <v>1013</v>
      </c>
      <c r="W238" s="276" t="s">
        <v>508</v>
      </c>
      <c r="X238" s="276" t="s">
        <v>786</v>
      </c>
      <c r="Y238" s="303"/>
      <c r="Z238" s="289"/>
      <c r="AA238" s="274" t="s">
        <v>776</v>
      </c>
      <c r="AB238" s="290">
        <v>41289</v>
      </c>
      <c r="AC238" s="290"/>
      <c r="AD238" s="291" t="s">
        <v>845</v>
      </c>
      <c r="AE238" s="276" t="str">
        <f ca="1">IFERROR(OFFSET(DistanceToCamp[Nearest Town],MATCH(CampList[[#This Row],[CP_Pcode]],DistanceToCamp[CP_Pcode],0)-1,0,1,1),"")</f>
        <v/>
      </c>
      <c r="AF238" s="292" t="str">
        <f ca="1">IFERROR(OFFSET(DistanceToCamp[distance],MATCH(CampList[[#This Row],[CP_Pcode]],DistanceToCamp[CP_Pcode],0)-1,0,1,1),"")</f>
        <v/>
      </c>
      <c r="AG238" s="293" t="str">
        <f ca="1">IFERROR(INT(CampList[[#This Row],[Distance]]/5)+1,"")</f>
        <v/>
      </c>
      <c r="AI238" s="495"/>
      <c r="AJ238" s="495">
        <v>142</v>
      </c>
    </row>
    <row r="239" spans="2:36" s="401" customFormat="1" ht="15.75" hidden="1" customHeight="1" x14ac:dyDescent="0.25">
      <c r="B239" s="283" t="s">
        <v>777</v>
      </c>
      <c r="C239" s="274" t="s">
        <v>378</v>
      </c>
      <c r="D239" s="274" t="s">
        <v>479</v>
      </c>
      <c r="E239" s="274" t="s">
        <v>180</v>
      </c>
      <c r="F239" s="274" t="s">
        <v>480</v>
      </c>
      <c r="G239" s="274" t="s">
        <v>481</v>
      </c>
      <c r="H239" s="274" t="s">
        <v>482</v>
      </c>
      <c r="I239" s="274"/>
      <c r="J239" s="274"/>
      <c r="K239" s="274"/>
      <c r="L239" s="274"/>
      <c r="M239" s="274" t="s">
        <v>122</v>
      </c>
      <c r="N239" s="274" t="s">
        <v>121</v>
      </c>
      <c r="O239" s="284"/>
      <c r="P239" s="284"/>
      <c r="Q239" s="302"/>
      <c r="R239" s="376">
        <v>0</v>
      </c>
      <c r="S239" s="377">
        <v>0</v>
      </c>
      <c r="T239" s="287" t="str">
        <f>IF(CampList[[#This Row],[HH]]&gt;0,CampList[[#This Row],[Total]]/CampList[[#This Row],[HH]],"NA")</f>
        <v>NA</v>
      </c>
      <c r="U239" s="276" t="s">
        <v>465</v>
      </c>
      <c r="V239" s="294" t="s">
        <v>1013</v>
      </c>
      <c r="W239" s="276" t="s">
        <v>508</v>
      </c>
      <c r="X239" s="294"/>
      <c r="Y239" s="310"/>
      <c r="Z239" s="311"/>
      <c r="AA239" s="403"/>
      <c r="AB239" s="314"/>
      <c r="AC239" s="314"/>
      <c r="AD239" s="283"/>
      <c r="AE239" s="276" t="str">
        <f ca="1">IFERROR(OFFSET(DistanceToCamp[Nearest Town],MATCH(CampList[[#This Row],[CP_Pcode]],DistanceToCamp[CP_Pcode],0)-1,0,1,1),"")</f>
        <v/>
      </c>
      <c r="AF239" s="292" t="str">
        <f ca="1">IFERROR(OFFSET(DistanceToCamp[distance],MATCH(CampList[[#This Row],[CP_Pcode]],DistanceToCamp[CP_Pcode],0)-1,0,1,1),"")</f>
        <v/>
      </c>
      <c r="AG239" s="293" t="str">
        <f ca="1">IFERROR(INT(CampList[[#This Row],[Distance]]/5)+1,"")</f>
        <v/>
      </c>
      <c r="AI239" s="496"/>
      <c r="AJ239" s="496"/>
    </row>
    <row r="240" spans="2:36" s="226" customFormat="1" ht="15.75" customHeight="1" x14ac:dyDescent="0.25">
      <c r="B240" s="283" t="s">
        <v>460</v>
      </c>
      <c r="C240" s="274" t="s">
        <v>507</v>
      </c>
      <c r="D240" s="274" t="s">
        <v>490</v>
      </c>
      <c r="E240" s="274" t="s">
        <v>230</v>
      </c>
      <c r="F240" s="274" t="s">
        <v>491</v>
      </c>
      <c r="G240" s="274" t="s">
        <v>230</v>
      </c>
      <c r="H240" s="274" t="s">
        <v>492</v>
      </c>
      <c r="I240" s="274" t="s">
        <v>903</v>
      </c>
      <c r="J240" s="274" t="s">
        <v>904</v>
      </c>
      <c r="K240" s="274" t="s">
        <v>905</v>
      </c>
      <c r="L240" s="309" t="s">
        <v>906</v>
      </c>
      <c r="M240" s="274" t="s">
        <v>907</v>
      </c>
      <c r="N240" s="274" t="s">
        <v>908</v>
      </c>
      <c r="O240" s="284">
        <v>97.909400000000005</v>
      </c>
      <c r="P240" s="284">
        <v>24.006319999999999</v>
      </c>
      <c r="Q240" s="302">
        <v>812.7</v>
      </c>
      <c r="R240" s="414">
        <v>44</v>
      </c>
      <c r="S240" s="414">
        <v>190</v>
      </c>
      <c r="T240" s="287">
        <f>IF(CampList[[#This Row],[HH]]&gt;0,CampList[[#This Row],[Total]]/CampList[[#This Row],[HH]],"NA")</f>
        <v>4.3181818181818183</v>
      </c>
      <c r="U240" s="276" t="s">
        <v>465</v>
      </c>
      <c r="V240" s="276" t="s">
        <v>1013</v>
      </c>
      <c r="W240" s="276" t="s">
        <v>508</v>
      </c>
      <c r="X240" s="276" t="s">
        <v>743</v>
      </c>
      <c r="Y240" s="303">
        <v>41703</v>
      </c>
      <c r="Z240" s="289" t="s">
        <v>424</v>
      </c>
      <c r="AA240" s="274" t="s">
        <v>776</v>
      </c>
      <c r="AB240" s="290">
        <v>43008</v>
      </c>
      <c r="AC240" s="290"/>
      <c r="AD240" s="291" t="s">
        <v>1411</v>
      </c>
      <c r="AE240" s="276" t="str">
        <f ca="1">IFERROR(OFFSET(DistanceToCamp[Nearest Town],MATCH(CampList[[#This Row],[CP_Pcode]],DistanceToCamp[CP_Pcode],0)-1,0,1,1),"")</f>
        <v>Muse Town</v>
      </c>
      <c r="AF240" s="292">
        <f ca="1">IFERROR(OFFSET(DistanceToCamp[distance],MATCH(CampList[[#This Row],[CP_Pcode]],DistanceToCamp[CP_Pcode],0)-1,0,1,1),"")</f>
        <v>1.989668595899414</v>
      </c>
      <c r="AG240" s="293">
        <f ca="1">IFERROR(INT(CampList[[#This Row],[Distance]]/5)+1,"")</f>
        <v>1</v>
      </c>
      <c r="AI240" s="495"/>
      <c r="AJ240" s="495"/>
    </row>
    <row r="241" spans="2:36" s="226" customFormat="1" ht="15.75" customHeight="1" x14ac:dyDescent="0.25">
      <c r="B241" s="283" t="s">
        <v>460</v>
      </c>
      <c r="C241" s="274" t="s">
        <v>507</v>
      </c>
      <c r="D241" s="274" t="s">
        <v>490</v>
      </c>
      <c r="E241" s="274" t="s">
        <v>230</v>
      </c>
      <c r="F241" s="274" t="s">
        <v>491</v>
      </c>
      <c r="G241" s="274" t="s">
        <v>288</v>
      </c>
      <c r="H241" s="274" t="s">
        <v>503</v>
      </c>
      <c r="I241" s="274" t="s">
        <v>692</v>
      </c>
      <c r="J241" s="274" t="s">
        <v>693</v>
      </c>
      <c r="K241" s="274" t="s">
        <v>692</v>
      </c>
      <c r="L241" s="274">
        <v>208353</v>
      </c>
      <c r="M241" s="274" t="s">
        <v>909</v>
      </c>
      <c r="N241" s="274" t="s">
        <v>910</v>
      </c>
      <c r="O241" s="284">
        <v>97.700940000000003</v>
      </c>
      <c r="P241" s="284">
        <v>23.841646999999998</v>
      </c>
      <c r="Q241" s="302">
        <v>798</v>
      </c>
      <c r="R241" s="654">
        <v>35</v>
      </c>
      <c r="S241" s="653">
        <v>177</v>
      </c>
      <c r="T241" s="287">
        <f>IF(CampList[[#This Row],[HH]]&gt;0,CampList[[#This Row],[Total]]/CampList[[#This Row],[HH]],"NA")</f>
        <v>5.0571428571428569</v>
      </c>
      <c r="U241" s="276" t="s">
        <v>465</v>
      </c>
      <c r="V241" s="276" t="s">
        <v>1013</v>
      </c>
      <c r="W241" s="276" t="s">
        <v>508</v>
      </c>
      <c r="X241" s="276" t="s">
        <v>743</v>
      </c>
      <c r="Y241" s="303">
        <v>41947</v>
      </c>
      <c r="Z241" s="289" t="s">
        <v>424</v>
      </c>
      <c r="AA241" s="274" t="s">
        <v>776</v>
      </c>
      <c r="AB241" s="290">
        <v>43008</v>
      </c>
      <c r="AC241" s="290"/>
      <c r="AD241" s="291" t="s">
        <v>1397</v>
      </c>
      <c r="AE241" s="276" t="str">
        <f ca="1">IFERROR(OFFSET(DistanceToCamp[Nearest Town],MATCH(CampList[[#This Row],[CP_Pcode]],DistanceToCamp[CP_Pcode],0)-1,0,1,1),"")</f>
        <v>Namhkan Town</v>
      </c>
      <c r="AF241" s="292">
        <f ca="1">IFERROR(OFFSET(DistanceToCamp[distance],MATCH(CampList[[#This Row],[CP_Pcode]],DistanceToCamp[CP_Pcode],0)-1,0,1,1),"")</f>
        <v>2.0141034419413328</v>
      </c>
      <c r="AG241" s="293">
        <f ca="1">IFERROR(INT(CampList[[#This Row],[Distance]]/5)+1,"")</f>
        <v>1</v>
      </c>
      <c r="AI241" s="495"/>
      <c r="AJ241" s="495"/>
    </row>
    <row r="242" spans="2:36" s="226" customFormat="1" ht="15.75" customHeight="1" x14ac:dyDescent="0.25">
      <c r="B242" s="283" t="s">
        <v>460</v>
      </c>
      <c r="C242" s="274" t="s">
        <v>507</v>
      </c>
      <c r="D242" s="274" t="s">
        <v>490</v>
      </c>
      <c r="E242" s="274" t="s">
        <v>230</v>
      </c>
      <c r="F242" s="274" t="s">
        <v>491</v>
      </c>
      <c r="G242" s="274" t="s">
        <v>288</v>
      </c>
      <c r="H242" s="274" t="s">
        <v>503</v>
      </c>
      <c r="I242" s="274" t="s">
        <v>912</v>
      </c>
      <c r="J242" s="274" t="s">
        <v>911</v>
      </c>
      <c r="K242" s="274" t="s">
        <v>913</v>
      </c>
      <c r="L242" s="309">
        <v>208338</v>
      </c>
      <c r="M242" s="274" t="s">
        <v>921</v>
      </c>
      <c r="N242" s="274" t="s">
        <v>914</v>
      </c>
      <c r="O242" s="284">
        <v>97.709879999999998</v>
      </c>
      <c r="P242" s="284">
        <v>23.838190000000001</v>
      </c>
      <c r="Q242" s="302">
        <v>829.8</v>
      </c>
      <c r="R242" s="414">
        <v>117</v>
      </c>
      <c r="S242" s="414">
        <v>545</v>
      </c>
      <c r="T242" s="287">
        <f>IF(CampList[[#This Row],[HH]]&gt;0,CampList[[#This Row],[Total]]/CampList[[#This Row],[HH]],"NA")</f>
        <v>4.6581196581196584</v>
      </c>
      <c r="U242" s="276" t="s">
        <v>465</v>
      </c>
      <c r="V242" s="276" t="s">
        <v>1013</v>
      </c>
      <c r="W242" s="276" t="s">
        <v>508</v>
      </c>
      <c r="X242" s="276" t="s">
        <v>743</v>
      </c>
      <c r="Y242" s="303">
        <v>41747</v>
      </c>
      <c r="Z242" s="289" t="s">
        <v>424</v>
      </c>
      <c r="AA242" s="274" t="s">
        <v>776</v>
      </c>
      <c r="AB242" s="290">
        <v>43008</v>
      </c>
      <c r="AC242" s="290"/>
      <c r="AD242" s="291" t="s">
        <v>1408</v>
      </c>
      <c r="AE242" s="276" t="str">
        <f ca="1">IFERROR(OFFSET(DistanceToCamp[Nearest Town],MATCH(CampList[[#This Row],[CP_Pcode]],DistanceToCamp[CP_Pcode],0)-1,0,1,1),"")</f>
        <v>Namhkan Town</v>
      </c>
      <c r="AF242" s="292">
        <f ca="1">IFERROR(OFFSET(DistanceToCamp[distance],MATCH(CampList[[#This Row],[CP_Pcode]],DistanceToCamp[CP_Pcode],0)-1,0,1,1),"")</f>
        <v>2.8590638493982405</v>
      </c>
      <c r="AG242" s="293">
        <f ca="1">IFERROR(INT(CampList[[#This Row],[Distance]]/5)+1,"")</f>
        <v>1</v>
      </c>
      <c r="AI242" s="495"/>
      <c r="AJ242" s="495"/>
    </row>
    <row r="243" spans="2:36" s="226" customFormat="1" ht="15.75" hidden="1" customHeight="1" x14ac:dyDescent="0.25">
      <c r="B243" s="283" t="s">
        <v>777</v>
      </c>
      <c r="C243" s="274" t="s">
        <v>378</v>
      </c>
      <c r="D243" s="274" t="s">
        <v>479</v>
      </c>
      <c r="E243" s="274" t="s">
        <v>180</v>
      </c>
      <c r="F243" s="274" t="s">
        <v>480</v>
      </c>
      <c r="G243" s="274" t="s">
        <v>481</v>
      </c>
      <c r="H243" s="274" t="s">
        <v>482</v>
      </c>
      <c r="I243" s="274"/>
      <c r="J243" s="274"/>
      <c r="K243" s="274"/>
      <c r="L243" s="274"/>
      <c r="M243" s="274" t="s">
        <v>96</v>
      </c>
      <c r="N243" s="274" t="s">
        <v>95</v>
      </c>
      <c r="O243" s="284"/>
      <c r="P243" s="284"/>
      <c r="Q243" s="302"/>
      <c r="R243" s="376">
        <v>0</v>
      </c>
      <c r="S243" s="377">
        <v>0</v>
      </c>
      <c r="T243" s="287" t="str">
        <f>IF(CampList[[#This Row],[HH]]&gt;0,CampList[[#This Row],[Total]]/CampList[[#This Row],[HH]],"NA")</f>
        <v>NA</v>
      </c>
      <c r="U243" s="276" t="s">
        <v>465</v>
      </c>
      <c r="V243" s="294" t="s">
        <v>1013</v>
      </c>
      <c r="W243" s="276" t="s">
        <v>508</v>
      </c>
      <c r="X243" s="294"/>
      <c r="Y243" s="310"/>
      <c r="Z243" s="311"/>
      <c r="AA243" s="403"/>
      <c r="AB243" s="314"/>
      <c r="AC243" s="314"/>
      <c r="AD243" s="283" t="s">
        <v>542</v>
      </c>
      <c r="AE243" s="276" t="str">
        <f ca="1">IFERROR(OFFSET(DistanceToCamp[Nearest Town],MATCH(CampList[[#This Row],[CP_Pcode]],DistanceToCamp[CP_Pcode],0)-1,0,1,1),"")</f>
        <v/>
      </c>
      <c r="AF243" s="292" t="str">
        <f ca="1">IFERROR(OFFSET(DistanceToCamp[distance],MATCH(CampList[[#This Row],[CP_Pcode]],DistanceToCamp[CP_Pcode],0)-1,0,1,1),"")</f>
        <v/>
      </c>
      <c r="AG243" s="293" t="str">
        <f ca="1">IFERROR(INT(CampList[[#This Row],[Distance]]/5)+1,"")</f>
        <v/>
      </c>
      <c r="AI243" s="495"/>
      <c r="AJ243" s="495"/>
    </row>
    <row r="244" spans="2:36" s="226" customFormat="1" ht="15.75" customHeight="1" x14ac:dyDescent="0.25">
      <c r="B244" s="299" t="s">
        <v>460</v>
      </c>
      <c r="C244" s="275" t="s">
        <v>507</v>
      </c>
      <c r="D244" s="275" t="s">
        <v>490</v>
      </c>
      <c r="E244" s="275" t="s">
        <v>230</v>
      </c>
      <c r="F244" s="275" t="s">
        <v>491</v>
      </c>
      <c r="G244" s="275" t="s">
        <v>230</v>
      </c>
      <c r="H244" s="275" t="s">
        <v>492</v>
      </c>
      <c r="I244" s="275" t="s">
        <v>903</v>
      </c>
      <c r="J244" s="300" t="s">
        <v>904</v>
      </c>
      <c r="K244" s="275" t="s">
        <v>905</v>
      </c>
      <c r="L244" s="275" t="s">
        <v>906</v>
      </c>
      <c r="M244" s="275" t="s">
        <v>917</v>
      </c>
      <c r="N244" s="275" t="s">
        <v>918</v>
      </c>
      <c r="O244" s="286">
        <v>97.911647000000002</v>
      </c>
      <c r="P244" s="286">
        <v>24.006789000000001</v>
      </c>
      <c r="Q244" s="302">
        <v>814</v>
      </c>
      <c r="R244" s="286">
        <v>22</v>
      </c>
      <c r="S244" s="823">
        <v>106</v>
      </c>
      <c r="T244" s="287">
        <f>IF(CampList[[#This Row],[HH]]&gt;0,CampList[[#This Row],[Total]]/CampList[[#This Row],[HH]],"NA")</f>
        <v>4.8181818181818183</v>
      </c>
      <c r="U244" s="224" t="s">
        <v>465</v>
      </c>
      <c r="V244" s="276" t="s">
        <v>1013</v>
      </c>
      <c r="W244" s="224" t="s">
        <v>508</v>
      </c>
      <c r="X244" s="224" t="s">
        <v>743</v>
      </c>
      <c r="Y244" s="303">
        <v>41734</v>
      </c>
      <c r="Z244" s="302" t="s">
        <v>1066</v>
      </c>
      <c r="AA244" s="275" t="s">
        <v>776</v>
      </c>
      <c r="AB244" s="290">
        <v>43008</v>
      </c>
      <c r="AC244" s="290"/>
      <c r="AD244" s="304" t="s">
        <v>1572</v>
      </c>
      <c r="AE244" s="305" t="str">
        <f ca="1">IFERROR(OFFSET(DistanceToCamp[Nearest Town],MATCH(CampList[[#This Row],[CP_Pcode]],DistanceToCamp[CP_Pcode],0)-1,0,1,1),"")</f>
        <v>Muse Town</v>
      </c>
      <c r="AF244" s="292">
        <f ca="1">IFERROR(OFFSET(DistanceToCamp[distance],MATCH(CampList[[#This Row],[CP_Pcode]],DistanceToCamp[CP_Pcode],0)-1,0,1,1),"")</f>
        <v>2.1362355825722199</v>
      </c>
      <c r="AG244" s="306">
        <f ca="1">IFERROR(INT(CampList[[#This Row],[Distance]]/5)+1,"")</f>
        <v>1</v>
      </c>
      <c r="AI244" s="495"/>
      <c r="AJ244" s="495"/>
    </row>
    <row r="245" spans="2:36" s="226" customFormat="1" ht="15.75" customHeight="1" x14ac:dyDescent="0.25">
      <c r="B245" s="299" t="s">
        <v>460</v>
      </c>
      <c r="C245" s="275" t="s">
        <v>507</v>
      </c>
      <c r="D245" s="275" t="s">
        <v>490</v>
      </c>
      <c r="E245" s="275" t="s">
        <v>230</v>
      </c>
      <c r="F245" s="275" t="s">
        <v>491</v>
      </c>
      <c r="G245" s="275" t="s">
        <v>146</v>
      </c>
      <c r="H245" s="275" t="s">
        <v>498</v>
      </c>
      <c r="I245" s="275" t="s">
        <v>726</v>
      </c>
      <c r="J245" s="300" t="s">
        <v>727</v>
      </c>
      <c r="K245" s="275" t="s">
        <v>728</v>
      </c>
      <c r="L245" s="275">
        <v>219842</v>
      </c>
      <c r="M245" s="275" t="s">
        <v>951</v>
      </c>
      <c r="N245" s="275" t="s">
        <v>950</v>
      </c>
      <c r="O245" s="286">
        <v>98.248999999999995</v>
      </c>
      <c r="P245" s="286">
        <v>23.463000000000001</v>
      </c>
      <c r="Q245" s="302"/>
      <c r="R245" s="286">
        <v>22</v>
      </c>
      <c r="S245" s="302">
        <v>105</v>
      </c>
      <c r="T245" s="287">
        <f>IF(CampList[[#This Row],[HH]]&gt;0,CampList[[#This Row],[Total]]/CampList[[#This Row],[HH]],"NA")</f>
        <v>4.7727272727272725</v>
      </c>
      <c r="U245" s="224" t="s">
        <v>465</v>
      </c>
      <c r="V245" s="276" t="s">
        <v>1013</v>
      </c>
      <c r="W245" s="224" t="s">
        <v>508</v>
      </c>
      <c r="X245" s="224" t="s">
        <v>786</v>
      </c>
      <c r="Y245" s="303">
        <v>40787</v>
      </c>
      <c r="Z245" s="302" t="s">
        <v>1066</v>
      </c>
      <c r="AA245" s="275" t="s">
        <v>776</v>
      </c>
      <c r="AB245" s="290">
        <v>43008</v>
      </c>
      <c r="AC245" s="290"/>
      <c r="AD245" s="304" t="s">
        <v>1573</v>
      </c>
      <c r="AE245" s="276"/>
      <c r="AF245" s="292" t="str">
        <f ca="1">IFERROR(OFFSET(DistanceToCamp[distance],MATCH(CampList[[#This Row],[CP_Pcode]],DistanceToCamp[CP_Pcode],0)-1,0,1,1),"")</f>
        <v/>
      </c>
      <c r="AG245" s="306" t="str">
        <f ca="1">IFERROR(INT(CampList[[#This Row],[Distance]]/5)+1,"")</f>
        <v/>
      </c>
      <c r="AI245" s="495"/>
      <c r="AJ245" s="495">
        <v>134</v>
      </c>
    </row>
    <row r="246" spans="2:36" s="226" customFormat="1" ht="15.75" customHeight="1" x14ac:dyDescent="0.25">
      <c r="B246" s="283" t="s">
        <v>460</v>
      </c>
      <c r="C246" s="274" t="s">
        <v>507</v>
      </c>
      <c r="D246" s="274" t="s">
        <v>490</v>
      </c>
      <c r="E246" s="274" t="s">
        <v>718</v>
      </c>
      <c r="F246" s="274" t="s">
        <v>719</v>
      </c>
      <c r="G246" s="274" t="s">
        <v>720</v>
      </c>
      <c r="H246" s="274" t="s">
        <v>721</v>
      </c>
      <c r="I246" s="274" t="s">
        <v>1078</v>
      </c>
      <c r="J246" s="274" t="s">
        <v>1079</v>
      </c>
      <c r="K246" s="274" t="s">
        <v>1078</v>
      </c>
      <c r="L246" s="274">
        <v>206352</v>
      </c>
      <c r="M246" s="274" t="s">
        <v>1078</v>
      </c>
      <c r="N246" s="274" t="s">
        <v>1062</v>
      </c>
      <c r="O246" s="322">
        <v>98.218626999999998</v>
      </c>
      <c r="P246" s="322">
        <v>23.354268999999999</v>
      </c>
      <c r="Q246" s="302"/>
      <c r="R246" s="414">
        <v>33</v>
      </c>
      <c r="S246" s="414">
        <v>174</v>
      </c>
      <c r="T246" s="287">
        <f>IF(CampList[[#This Row],[HH]]&gt;0,CampList[[#This Row],[Total]]/CampList[[#This Row],[HH]],"NA")</f>
        <v>5.2727272727272725</v>
      </c>
      <c r="U246" s="276" t="s">
        <v>465</v>
      </c>
      <c r="V246" s="276" t="s">
        <v>1013</v>
      </c>
      <c r="W246" s="276" t="s">
        <v>508</v>
      </c>
      <c r="X246" s="276" t="s">
        <v>786</v>
      </c>
      <c r="Y246" s="303">
        <v>42036</v>
      </c>
      <c r="Z246" s="289" t="s">
        <v>424</v>
      </c>
      <c r="AA246" s="274" t="s">
        <v>776</v>
      </c>
      <c r="AB246" s="290">
        <v>43008</v>
      </c>
      <c r="AC246" s="290"/>
      <c r="AD246" s="291" t="s">
        <v>1409</v>
      </c>
      <c r="AE246" s="276"/>
      <c r="AF246" s="292" t="str">
        <f ca="1">IFERROR(OFFSET(DistanceToCamp[distance],MATCH(CampList[[#This Row],[CP_Pcode]],DistanceToCamp[CP_Pcode],0)-1,0,1,1),"")</f>
        <v/>
      </c>
      <c r="AG246" s="293" t="str">
        <f ca="1">IFERROR(INT(CampList[[#This Row],[Distance]]/5)+1,"")</f>
        <v/>
      </c>
      <c r="AI246" s="495"/>
      <c r="AJ246" s="495">
        <v>46</v>
      </c>
    </row>
    <row r="247" spans="2:36" s="226" customFormat="1" ht="15.75" customHeight="1" x14ac:dyDescent="0.25">
      <c r="B247" s="283" t="s">
        <v>460</v>
      </c>
      <c r="C247" s="274" t="s">
        <v>507</v>
      </c>
      <c r="D247" s="274" t="s">
        <v>490</v>
      </c>
      <c r="E247" s="274" t="s">
        <v>230</v>
      </c>
      <c r="F247" s="275" t="s">
        <v>491</v>
      </c>
      <c r="G247" s="275" t="s">
        <v>146</v>
      </c>
      <c r="H247" s="275" t="s">
        <v>498</v>
      </c>
      <c r="I247" s="328" t="s">
        <v>707</v>
      </c>
      <c r="J247" s="300" t="s">
        <v>708</v>
      </c>
      <c r="K247" s="274"/>
      <c r="L247" s="274"/>
      <c r="M247" s="328" t="s">
        <v>1100</v>
      </c>
      <c r="N247" s="274" t="s">
        <v>1101</v>
      </c>
      <c r="O247" s="322">
        <v>97.868876999999998</v>
      </c>
      <c r="P247" s="322">
        <v>23.447111</v>
      </c>
      <c r="Q247" s="302"/>
      <c r="R247" s="285">
        <v>105</v>
      </c>
      <c r="S247" s="302">
        <v>568</v>
      </c>
      <c r="T247" s="287">
        <f>IF(CampList[[#This Row],[HH]]&gt;0,CampList[[#This Row],[Total]]/CampList[[#This Row],[HH]],"NA")</f>
        <v>5.4095238095238098</v>
      </c>
      <c r="U247" s="276" t="s">
        <v>465</v>
      </c>
      <c r="V247" s="276" t="s">
        <v>1013</v>
      </c>
      <c r="W247" s="276" t="s">
        <v>1574</v>
      </c>
      <c r="X247" s="276" t="s">
        <v>786</v>
      </c>
      <c r="Y247" s="288">
        <v>42036</v>
      </c>
      <c r="Z247" s="288"/>
      <c r="AA247" s="274" t="s">
        <v>776</v>
      </c>
      <c r="AB247" s="290">
        <v>42927</v>
      </c>
      <c r="AC247" s="290"/>
      <c r="AD247" s="291" t="s">
        <v>1433</v>
      </c>
      <c r="AE247" s="276"/>
      <c r="AF247" s="292" t="str">
        <f ca="1">IFERROR(OFFSET(DistanceToCamp[distance],MATCH(CampList[[#This Row],[CP_Pcode]],DistanceToCamp[CP_Pcode],0)-1,0,1,1),"")</f>
        <v/>
      </c>
      <c r="AG247" s="306" t="str">
        <f ca="1">IFERROR(INT(CampList[[#This Row],[Distance]]/5)+1,"")</f>
        <v/>
      </c>
      <c r="AI247" s="495"/>
      <c r="AJ247" s="495"/>
    </row>
    <row r="248" spans="2:36" s="226" customFormat="1" ht="15.75" customHeight="1" x14ac:dyDescent="0.25">
      <c r="B248" s="283" t="s">
        <v>460</v>
      </c>
      <c r="C248" s="274" t="s">
        <v>507</v>
      </c>
      <c r="D248" s="274" t="s">
        <v>490</v>
      </c>
      <c r="E248" s="274" t="s">
        <v>230</v>
      </c>
      <c r="F248" s="274" t="s">
        <v>491</v>
      </c>
      <c r="G248" s="274" t="s">
        <v>146</v>
      </c>
      <c r="H248" s="274" t="s">
        <v>498</v>
      </c>
      <c r="I248" s="309" t="s">
        <v>663</v>
      </c>
      <c r="J248" s="274" t="s">
        <v>1058</v>
      </c>
      <c r="K248" s="309" t="s">
        <v>663</v>
      </c>
      <c r="L248" s="327">
        <v>208747</v>
      </c>
      <c r="M248" s="275" t="s">
        <v>1157</v>
      </c>
      <c r="N248" s="275" t="s">
        <v>1149</v>
      </c>
      <c r="O248" s="286">
        <v>97.796999999999997</v>
      </c>
      <c r="P248" s="286">
        <v>23.591999999999999</v>
      </c>
      <c r="Q248" s="285"/>
      <c r="R248" s="654">
        <v>139</v>
      </c>
      <c r="S248" s="823">
        <v>704</v>
      </c>
      <c r="T248" s="287">
        <f>IF(CampList[[#This Row],[HH]]&gt;0,CampList[[#This Row],[Total]]/CampList[[#This Row],[HH]],"NA")</f>
        <v>5.0647482014388485</v>
      </c>
      <c r="U248" s="224" t="s">
        <v>465</v>
      </c>
      <c r="V248" s="276" t="s">
        <v>1013</v>
      </c>
      <c r="W248" s="224" t="s">
        <v>508</v>
      </c>
      <c r="X248" s="224" t="s">
        <v>786</v>
      </c>
      <c r="Y248" s="303">
        <v>42435</v>
      </c>
      <c r="Z248" s="302" t="s">
        <v>424</v>
      </c>
      <c r="AA248" s="275" t="s">
        <v>776</v>
      </c>
      <c r="AB248" s="290">
        <v>43008</v>
      </c>
      <c r="AC248" s="290"/>
      <c r="AD248" s="304" t="s">
        <v>1410</v>
      </c>
      <c r="AE248" s="276"/>
      <c r="AF248" s="292" t="str">
        <f ca="1">IFERROR(OFFSET(DistanceToCamp[distance],MATCH(CampList[[#This Row],[CP_Pcode]],DistanceToCamp[CP_Pcode],0)-1,0,1,1),"")</f>
        <v/>
      </c>
      <c r="AG248" s="306" t="str">
        <f ca="1">IFERROR(INT(CampList[[#This Row],[Distance]]/5)+1,"")</f>
        <v/>
      </c>
      <c r="AI248" s="495"/>
      <c r="AJ248" s="495"/>
    </row>
    <row r="249" spans="2:36" s="226" customFormat="1" ht="15.75" customHeight="1" x14ac:dyDescent="0.25">
      <c r="B249" s="299" t="s">
        <v>460</v>
      </c>
      <c r="C249" s="274" t="s">
        <v>507</v>
      </c>
      <c r="D249" s="274" t="s">
        <v>490</v>
      </c>
      <c r="E249" s="274" t="s">
        <v>495</v>
      </c>
      <c r="F249" s="274" t="s">
        <v>496</v>
      </c>
      <c r="G249" s="274" t="s">
        <v>297</v>
      </c>
      <c r="H249" s="274" t="s">
        <v>504</v>
      </c>
      <c r="I249" s="274" t="s">
        <v>913</v>
      </c>
      <c r="J249" s="300" t="s">
        <v>1167</v>
      </c>
      <c r="K249" s="274" t="s">
        <v>1168</v>
      </c>
      <c r="L249" s="300">
        <v>210455</v>
      </c>
      <c r="M249" s="274" t="s">
        <v>1166</v>
      </c>
      <c r="N249" s="275" t="s">
        <v>1150</v>
      </c>
      <c r="O249" s="284">
        <v>97.358999999999995</v>
      </c>
      <c r="P249" s="284">
        <v>22.765999999999998</v>
      </c>
      <c r="Q249" s="302"/>
      <c r="R249" s="415">
        <v>19</v>
      </c>
      <c r="S249" s="416">
        <v>82</v>
      </c>
      <c r="T249" s="287">
        <f>IF(CampList[[#This Row],[HH]]&gt;0,CampList[[#This Row],[Total]]/CampList[[#This Row],[HH]],"NA")</f>
        <v>4.3157894736842106</v>
      </c>
      <c r="U249" s="224" t="s">
        <v>465</v>
      </c>
      <c r="V249" s="276" t="s">
        <v>1013</v>
      </c>
      <c r="W249" s="276" t="s">
        <v>1574</v>
      </c>
      <c r="X249" s="276" t="s">
        <v>786</v>
      </c>
      <c r="Y249" s="303">
        <v>42370</v>
      </c>
      <c r="Z249" s="289"/>
      <c r="AA249" s="275" t="s">
        <v>776</v>
      </c>
      <c r="AB249" s="290">
        <v>42576</v>
      </c>
      <c r="AC249" s="290"/>
      <c r="AD249" s="283" t="s">
        <v>1582</v>
      </c>
      <c r="AE249" s="276" t="str">
        <f ca="1">IFERROR(OFFSET(DistanceToCamp[Nearest Town],MATCH(CampList[[#This Row],[CP_Pcode]],DistanceToCamp[CP_Pcode],0)-1,0,1,1),"")</f>
        <v/>
      </c>
      <c r="AF249" s="292" t="str">
        <f ca="1">IFERROR(OFFSET(DistanceToCamp[distance],MATCH(CampList[[#This Row],[CP_Pcode]],DistanceToCamp[CP_Pcode],0)-1,0,1,1),"")</f>
        <v/>
      </c>
      <c r="AG249" s="306" t="str">
        <f ca="1">IFERROR(INT(CampList[[#This Row],[Distance]]/5)+1,"")</f>
        <v/>
      </c>
      <c r="AI249" s="495"/>
      <c r="AJ249" s="495"/>
    </row>
    <row r="250" spans="2:36" s="226" customFormat="1" ht="15.75" customHeight="1" x14ac:dyDescent="0.25">
      <c r="B250" s="299" t="s">
        <v>460</v>
      </c>
      <c r="C250" s="274" t="s">
        <v>507</v>
      </c>
      <c r="D250" s="274" t="s">
        <v>490</v>
      </c>
      <c r="E250" s="274" t="s">
        <v>495</v>
      </c>
      <c r="F250" s="274" t="s">
        <v>496</v>
      </c>
      <c r="G250" s="274" t="s">
        <v>166</v>
      </c>
      <c r="H250" s="274" t="s">
        <v>497</v>
      </c>
      <c r="I250" s="274"/>
      <c r="J250" s="300"/>
      <c r="K250" s="274"/>
      <c r="L250" s="274"/>
      <c r="M250" s="274" t="s">
        <v>1169</v>
      </c>
      <c r="N250" s="275" t="s">
        <v>1151</v>
      </c>
      <c r="O250" s="284"/>
      <c r="P250" s="284"/>
      <c r="Q250" s="302"/>
      <c r="R250" s="415">
        <v>36</v>
      </c>
      <c r="S250" s="416">
        <v>188</v>
      </c>
      <c r="T250" s="287">
        <f>IF(CampList[[#This Row],[HH]]&gt;0,CampList[[#This Row],[Total]]/CampList[[#This Row],[HH]],"NA")</f>
        <v>5.2222222222222223</v>
      </c>
      <c r="U250" s="224" t="s">
        <v>465</v>
      </c>
      <c r="V250" s="276" t="s">
        <v>1013</v>
      </c>
      <c r="W250" s="276" t="s">
        <v>1574</v>
      </c>
      <c r="X250" s="276" t="s">
        <v>743</v>
      </c>
      <c r="Y250" s="303">
        <v>42370</v>
      </c>
      <c r="Z250" s="289"/>
      <c r="AA250" s="275" t="s">
        <v>776</v>
      </c>
      <c r="AB250" s="290">
        <v>42562</v>
      </c>
      <c r="AC250" s="290">
        <v>42927</v>
      </c>
      <c r="AD250" s="283" t="s">
        <v>1583</v>
      </c>
      <c r="AE250" s="276" t="str">
        <f ca="1">IFERROR(OFFSET(DistanceToCamp[Nearest Town],MATCH(CampList[[#This Row],[CP_Pcode]],DistanceToCamp[CP_Pcode],0)-1,0,1,1),"")</f>
        <v/>
      </c>
      <c r="AF250" s="292" t="str">
        <f ca="1">IFERROR(OFFSET(DistanceToCamp[distance],MATCH(CampList[[#This Row],[CP_Pcode]],DistanceToCamp[CP_Pcode],0)-1,0,1,1),"")</f>
        <v/>
      </c>
      <c r="AG250" s="306" t="str">
        <f ca="1">IFERROR(INT(CampList[[#This Row],[Distance]]/5)+1,"")</f>
        <v/>
      </c>
      <c r="AI250" s="495"/>
      <c r="AJ250" s="495">
        <v>8</v>
      </c>
    </row>
    <row r="251" spans="2:36" s="226" customFormat="1" ht="15.75" hidden="1" customHeight="1" x14ac:dyDescent="0.25">
      <c r="B251" s="283" t="s">
        <v>777</v>
      </c>
      <c r="C251" s="274" t="s">
        <v>378</v>
      </c>
      <c r="D251" s="274" t="s">
        <v>479</v>
      </c>
      <c r="E251" s="274" t="s">
        <v>5</v>
      </c>
      <c r="F251" s="274" t="s">
        <v>483</v>
      </c>
      <c r="G251" s="274" t="s">
        <v>151</v>
      </c>
      <c r="H251" s="274" t="s">
        <v>493</v>
      </c>
      <c r="I251" s="274"/>
      <c r="J251" s="274"/>
      <c r="K251" s="274"/>
      <c r="L251" s="274"/>
      <c r="M251" s="274" t="s">
        <v>815</v>
      </c>
      <c r="N251" s="274" t="s">
        <v>816</v>
      </c>
      <c r="O251" s="286"/>
      <c r="P251" s="286"/>
      <c r="Q251" s="302"/>
      <c r="R251" s="376">
        <v>0</v>
      </c>
      <c r="S251" s="377">
        <v>0</v>
      </c>
      <c r="T251" s="287" t="str">
        <f>IF(CampList[[#This Row],[HH]]&gt;0,CampList[[#This Row],[Total]]/CampList[[#This Row],[HH]],"NA")</f>
        <v>NA</v>
      </c>
      <c r="U251" s="276" t="s">
        <v>465</v>
      </c>
      <c r="V251" s="294" t="s">
        <v>1013</v>
      </c>
      <c r="W251" s="276" t="s">
        <v>508</v>
      </c>
      <c r="X251" s="276" t="s">
        <v>786</v>
      </c>
      <c r="Y251" s="303"/>
      <c r="Z251" s="289"/>
      <c r="AA251" s="274" t="s">
        <v>776</v>
      </c>
      <c r="AB251" s="290">
        <v>41652</v>
      </c>
      <c r="AC251" s="290"/>
      <c r="AD251" s="283" t="s">
        <v>837</v>
      </c>
      <c r="AE251" s="276" t="str">
        <f ca="1">IFERROR(OFFSET(DistanceToCamp[Nearest Town],MATCH(CampList[[#This Row],[CP_Pcode]],DistanceToCamp[CP_Pcode],0)-1,0,1,1),"")</f>
        <v/>
      </c>
      <c r="AF251" s="292" t="str">
        <f ca="1">IFERROR(OFFSET(DistanceToCamp[distance],MATCH(CampList[[#This Row],[CP_Pcode]],DistanceToCamp[CP_Pcode],0)-1,0,1,1),"")</f>
        <v/>
      </c>
      <c r="AG251" s="293" t="str">
        <f ca="1">IFERROR(INT(CampList[[#This Row],[Distance]]/5)+1,"")</f>
        <v/>
      </c>
      <c r="AI251" s="495"/>
      <c r="AJ251" s="495">
        <v>44</v>
      </c>
    </row>
    <row r="252" spans="2:36" s="226" customFormat="1" ht="15.75" hidden="1" customHeight="1" x14ac:dyDescent="0.25">
      <c r="B252" s="283" t="s">
        <v>777</v>
      </c>
      <c r="C252" s="274" t="s">
        <v>378</v>
      </c>
      <c r="D252" s="274" t="s">
        <v>479</v>
      </c>
      <c r="E252" s="274" t="s">
        <v>5</v>
      </c>
      <c r="F252" s="274" t="s">
        <v>483</v>
      </c>
      <c r="G252" s="274" t="s">
        <v>5</v>
      </c>
      <c r="H252" s="274" t="s">
        <v>484</v>
      </c>
      <c r="I252" s="274"/>
      <c r="J252" s="274"/>
      <c r="K252" s="274"/>
      <c r="L252" s="274"/>
      <c r="M252" s="274" t="s">
        <v>824</v>
      </c>
      <c r="N252" s="274" t="s">
        <v>823</v>
      </c>
      <c r="O252" s="284"/>
      <c r="P252" s="284"/>
      <c r="Q252" s="302"/>
      <c r="R252" s="376"/>
      <c r="S252" s="377"/>
      <c r="T252" s="287" t="str">
        <f>IF(CampList[[#This Row],[HH]]&gt;0,CampList[[#This Row],[Total]]/CampList[[#This Row],[HH]],"NA")</f>
        <v>NA</v>
      </c>
      <c r="U252" s="276" t="s">
        <v>465</v>
      </c>
      <c r="V252" s="294" t="s">
        <v>1013</v>
      </c>
      <c r="W252" s="276" t="s">
        <v>508</v>
      </c>
      <c r="X252" s="294" t="s">
        <v>743</v>
      </c>
      <c r="Y252" s="303"/>
      <c r="Z252" s="289"/>
      <c r="AA252" s="308" t="s">
        <v>776</v>
      </c>
      <c r="AB252" s="290">
        <v>41702</v>
      </c>
      <c r="AC252" s="290"/>
      <c r="AD252" s="291" t="s">
        <v>876</v>
      </c>
      <c r="AE252" s="276" t="str">
        <f ca="1">IFERROR(OFFSET(DistanceToCamp[Nearest Town],MATCH(CampList[[#This Row],[CP_Pcode]],DistanceToCamp[CP_Pcode],0)-1,0,1,1),"")</f>
        <v/>
      </c>
      <c r="AF252" s="292" t="str">
        <f ca="1">IFERROR(OFFSET(DistanceToCamp[distance],MATCH(CampList[[#This Row],[CP_Pcode]],DistanceToCamp[CP_Pcode],0)-1,0,1,1),"")</f>
        <v/>
      </c>
      <c r="AG252" s="293" t="str">
        <f ca="1">IFERROR(INT(CampList[[#This Row],[Distance]]/5)+1,"")</f>
        <v/>
      </c>
      <c r="AI252" s="495"/>
      <c r="AJ252" s="495"/>
    </row>
    <row r="253" spans="2:36" s="203" customFormat="1" ht="15.75" hidden="1" customHeight="1" x14ac:dyDescent="0.25">
      <c r="B253" s="299" t="s">
        <v>777</v>
      </c>
      <c r="C253" s="274" t="s">
        <v>507</v>
      </c>
      <c r="D253" s="274" t="s">
        <v>490</v>
      </c>
      <c r="E253" s="274" t="s">
        <v>230</v>
      </c>
      <c r="F253" s="274" t="s">
        <v>491</v>
      </c>
      <c r="G253" s="274" t="s">
        <v>288</v>
      </c>
      <c r="H253" s="274" t="s">
        <v>503</v>
      </c>
      <c r="I253" s="274" t="s">
        <v>1170</v>
      </c>
      <c r="J253" s="300" t="s">
        <v>1171</v>
      </c>
      <c r="K253" s="274" t="s">
        <v>1170</v>
      </c>
      <c r="L253" s="300">
        <v>208469</v>
      </c>
      <c r="M253" s="274" t="s">
        <v>1158</v>
      </c>
      <c r="N253" s="275" t="s">
        <v>1152</v>
      </c>
      <c r="O253" s="284">
        <v>97.504999999999995</v>
      </c>
      <c r="P253" s="284">
        <v>23.611999999999998</v>
      </c>
      <c r="Q253" s="302"/>
      <c r="R253" s="376"/>
      <c r="S253" s="377"/>
      <c r="T253" s="287" t="str">
        <f>IF(CampList[[#This Row],[HH]]&gt;0,CampList[[#This Row],[Total]]/CampList[[#This Row],[HH]],"NA")</f>
        <v>NA</v>
      </c>
      <c r="U253" s="224" t="s">
        <v>465</v>
      </c>
      <c r="V253" s="276" t="s">
        <v>1013</v>
      </c>
      <c r="W253" s="224" t="s">
        <v>508</v>
      </c>
      <c r="X253" s="276" t="s">
        <v>786</v>
      </c>
      <c r="Y253" s="303">
        <v>42401</v>
      </c>
      <c r="Z253" s="289"/>
      <c r="AA253" s="275" t="s">
        <v>776</v>
      </c>
      <c r="AB253" s="290">
        <v>42888</v>
      </c>
      <c r="AC253" s="290"/>
      <c r="AD253" s="283" t="s">
        <v>1282</v>
      </c>
      <c r="AE253" s="276" t="str">
        <f ca="1">IFERROR(OFFSET(DistanceToCamp[Nearest Town],MATCH(CampList[[#This Row],[CP_Pcode]],DistanceToCamp[CP_Pcode],0)-1,0,1,1),"")</f>
        <v/>
      </c>
      <c r="AF253" s="292" t="str">
        <f ca="1">IFERROR(OFFSET(DistanceToCamp[distance],MATCH(CampList[[#This Row],[CP_Pcode]],DistanceToCamp[CP_Pcode],0)-1,0,1,1),"")</f>
        <v/>
      </c>
      <c r="AG253" s="306" t="str">
        <f ca="1">IFERROR(INT(CampList[[#This Row],[Distance]]/5)+1,"")</f>
        <v/>
      </c>
      <c r="AI253" s="489"/>
      <c r="AJ253" s="489"/>
    </row>
    <row r="254" spans="2:36" s="203" customFormat="1" ht="15.75" customHeight="1" x14ac:dyDescent="0.25">
      <c r="B254" s="299" t="s">
        <v>460</v>
      </c>
      <c r="C254" s="274" t="s">
        <v>507</v>
      </c>
      <c r="D254" s="274" t="s">
        <v>490</v>
      </c>
      <c r="E254" s="274" t="s">
        <v>230</v>
      </c>
      <c r="F254" s="274" t="s">
        <v>491</v>
      </c>
      <c r="G254" s="274" t="s">
        <v>288</v>
      </c>
      <c r="H254" s="274" t="s">
        <v>503</v>
      </c>
      <c r="I254" s="274" t="s">
        <v>1170</v>
      </c>
      <c r="J254" s="300" t="s">
        <v>1171</v>
      </c>
      <c r="K254" s="274" t="s">
        <v>1170</v>
      </c>
      <c r="L254" s="300">
        <v>208469</v>
      </c>
      <c r="M254" s="274" t="s">
        <v>1159</v>
      </c>
      <c r="N254" s="275" t="s">
        <v>1153</v>
      </c>
      <c r="O254" s="284">
        <v>97.506</v>
      </c>
      <c r="P254" s="284">
        <v>23.611999999999998</v>
      </c>
      <c r="Q254" s="302"/>
      <c r="R254" s="415">
        <v>61</v>
      </c>
      <c r="S254" s="416">
        <v>276</v>
      </c>
      <c r="T254" s="287">
        <f>IF(CampList[[#This Row],[HH]]&gt;0,CampList[[#This Row],[Total]]/CampList[[#This Row],[HH]],"NA")</f>
        <v>4.5245901639344259</v>
      </c>
      <c r="U254" s="224" t="s">
        <v>465</v>
      </c>
      <c r="V254" s="276" t="s">
        <v>1013</v>
      </c>
      <c r="W254" s="276" t="s">
        <v>1574</v>
      </c>
      <c r="X254" s="276" t="s">
        <v>786</v>
      </c>
      <c r="Y254" s="303">
        <v>42430</v>
      </c>
      <c r="Z254" s="289"/>
      <c r="AA254" s="275" t="s">
        <v>776</v>
      </c>
      <c r="AB254" s="290">
        <v>42888</v>
      </c>
      <c r="AC254" s="290"/>
      <c r="AD254" s="283" t="s">
        <v>1281</v>
      </c>
      <c r="AE254" s="276" t="str">
        <f ca="1">IFERROR(OFFSET(DistanceToCamp[Nearest Town],MATCH(CampList[[#This Row],[CP_Pcode]],DistanceToCamp[CP_Pcode],0)-1,0,1,1),"")</f>
        <v/>
      </c>
      <c r="AF254" s="292" t="str">
        <f ca="1">IFERROR(OFFSET(DistanceToCamp[distance],MATCH(CampList[[#This Row],[CP_Pcode]],DistanceToCamp[CP_Pcode],0)-1,0,1,1),"")</f>
        <v/>
      </c>
      <c r="AG254" s="306" t="str">
        <f ca="1">IFERROR(INT(CampList[[#This Row],[Distance]]/5)+1,"")</f>
        <v/>
      </c>
      <c r="AI254" s="489"/>
      <c r="AJ254" s="489"/>
    </row>
    <row r="255" spans="2:36" s="203" customFormat="1" ht="15.75" customHeight="1" x14ac:dyDescent="0.25">
      <c r="B255" s="299" t="s">
        <v>460</v>
      </c>
      <c r="C255" s="274" t="s">
        <v>507</v>
      </c>
      <c r="D255" s="274" t="s">
        <v>490</v>
      </c>
      <c r="E255" s="274" t="s">
        <v>230</v>
      </c>
      <c r="F255" s="274" t="s">
        <v>491</v>
      </c>
      <c r="G255" s="274" t="s">
        <v>146</v>
      </c>
      <c r="H255" s="274" t="s">
        <v>498</v>
      </c>
      <c r="I255" s="309" t="s">
        <v>664</v>
      </c>
      <c r="J255" s="274" t="s">
        <v>1059</v>
      </c>
      <c r="K255" s="309" t="s">
        <v>1145</v>
      </c>
      <c r="L255" s="324"/>
      <c r="M255" s="274" t="s">
        <v>1160</v>
      </c>
      <c r="N255" s="275" t="s">
        <v>1154</v>
      </c>
      <c r="O255" s="284">
        <v>97.810101000000003</v>
      </c>
      <c r="P255" s="284">
        <v>23.682887999999998</v>
      </c>
      <c r="Q255" s="302"/>
      <c r="R255" s="415">
        <v>37</v>
      </c>
      <c r="S255" s="416">
        <v>130</v>
      </c>
      <c r="T255" s="287">
        <f>IF(CampList[[#This Row],[HH]]&gt;0,CampList[[#This Row],[Total]]/CampList[[#This Row],[HH]],"NA")</f>
        <v>3.5135135135135136</v>
      </c>
      <c r="U255" s="224" t="s">
        <v>465</v>
      </c>
      <c r="V255" s="276" t="s">
        <v>1013</v>
      </c>
      <c r="W255" s="276" t="s">
        <v>1574</v>
      </c>
      <c r="X255" s="276" t="s">
        <v>743</v>
      </c>
      <c r="Y255" s="303">
        <v>42401</v>
      </c>
      <c r="Z255" s="289"/>
      <c r="AA255" s="275" t="s">
        <v>776</v>
      </c>
      <c r="AB255" s="290">
        <v>42831</v>
      </c>
      <c r="AC255" s="290"/>
      <c r="AD255" s="283" t="s">
        <v>1584</v>
      </c>
      <c r="AE255" s="276" t="str">
        <f ca="1">IFERROR(OFFSET(DistanceToCamp[Nearest Town],MATCH(CampList[[#This Row],[CP_Pcode]],DistanceToCamp[CP_Pcode],0)-1,0,1,1),"")</f>
        <v/>
      </c>
      <c r="AF255" s="292" t="str">
        <f ca="1">IFERROR(OFFSET(DistanceToCamp[distance],MATCH(CampList[[#This Row],[CP_Pcode]],DistanceToCamp[CP_Pcode],0)-1,0,1,1),"")</f>
        <v/>
      </c>
      <c r="AG255" s="306" t="str">
        <f ca="1">IFERROR(INT(CampList[[#This Row],[Distance]]/5)+1,"")</f>
        <v/>
      </c>
      <c r="AI255" s="489"/>
      <c r="AJ255" s="489"/>
    </row>
    <row r="256" spans="2:36" s="203" customFormat="1" ht="15.75" hidden="1" customHeight="1" x14ac:dyDescent="0.25">
      <c r="B256" s="299" t="s">
        <v>777</v>
      </c>
      <c r="C256" s="274" t="s">
        <v>507</v>
      </c>
      <c r="D256" s="274" t="s">
        <v>490</v>
      </c>
      <c r="E256" s="274" t="s">
        <v>718</v>
      </c>
      <c r="F256" s="274" t="s">
        <v>719</v>
      </c>
      <c r="G256" s="274" t="s">
        <v>720</v>
      </c>
      <c r="H256" s="274" t="s">
        <v>721</v>
      </c>
      <c r="I256" s="274" t="s">
        <v>1173</v>
      </c>
      <c r="J256" s="300" t="s">
        <v>1174</v>
      </c>
      <c r="K256" s="274" t="s">
        <v>1173</v>
      </c>
      <c r="L256" s="300">
        <v>206395</v>
      </c>
      <c r="M256" s="274" t="s">
        <v>1172</v>
      </c>
      <c r="N256" s="275" t="s">
        <v>1155</v>
      </c>
      <c r="O256" s="284">
        <v>98.221000000000004</v>
      </c>
      <c r="P256" s="284">
        <v>23.353999999999999</v>
      </c>
      <c r="Q256" s="302"/>
      <c r="R256" s="415"/>
      <c r="S256" s="416"/>
      <c r="T256" s="287" t="str">
        <f>IF(CampList[[#This Row],[HH]]&gt;0,CampList[[#This Row],[Total]]/CampList[[#This Row],[HH]],"NA")</f>
        <v>NA</v>
      </c>
      <c r="U256" s="224" t="s">
        <v>465</v>
      </c>
      <c r="V256" s="276" t="s">
        <v>1013</v>
      </c>
      <c r="W256" s="224" t="s">
        <v>508</v>
      </c>
      <c r="X256" s="276" t="s">
        <v>743</v>
      </c>
      <c r="Y256" s="303">
        <v>42430</v>
      </c>
      <c r="Z256" s="289"/>
      <c r="AA256" s="275" t="s">
        <v>776</v>
      </c>
      <c r="AB256" s="290">
        <v>42927</v>
      </c>
      <c r="AC256" s="290"/>
      <c r="AD256" s="283" t="s">
        <v>1434</v>
      </c>
      <c r="AE256" s="276" t="str">
        <f ca="1">IFERROR(OFFSET(DistanceToCamp[Nearest Town],MATCH(CampList[[#This Row],[CP_Pcode]],DistanceToCamp[CP_Pcode],0)-1,0,1,1),"")</f>
        <v/>
      </c>
      <c r="AF256" s="292" t="str">
        <f ca="1">IFERROR(OFFSET(DistanceToCamp[distance],MATCH(CampList[[#This Row],[CP_Pcode]],DistanceToCamp[CP_Pcode],0)-1,0,1,1),"")</f>
        <v/>
      </c>
      <c r="AG256" s="306" t="str">
        <f ca="1">IFERROR(INT(CampList[[#This Row],[Distance]]/5)+1,"")</f>
        <v/>
      </c>
      <c r="AI256" s="489">
        <v>20</v>
      </c>
      <c r="AJ256" s="489">
        <v>75</v>
      </c>
    </row>
    <row r="257" spans="2:47" s="203" customFormat="1" ht="15.75" customHeight="1" x14ac:dyDescent="0.25">
      <c r="B257" s="299" t="s">
        <v>460</v>
      </c>
      <c r="C257" s="274" t="s">
        <v>507</v>
      </c>
      <c r="D257" s="274" t="s">
        <v>490</v>
      </c>
      <c r="E257" s="274" t="s">
        <v>230</v>
      </c>
      <c r="F257" s="274" t="s">
        <v>491</v>
      </c>
      <c r="G257" s="274" t="s">
        <v>146</v>
      </c>
      <c r="H257" s="274" t="s">
        <v>498</v>
      </c>
      <c r="I257" s="274" t="s">
        <v>1176</v>
      </c>
      <c r="J257" s="300"/>
      <c r="K257" s="274" t="s">
        <v>1177</v>
      </c>
      <c r="L257" s="274"/>
      <c r="M257" s="274" t="s">
        <v>1175</v>
      </c>
      <c r="N257" s="275" t="s">
        <v>1156</v>
      </c>
      <c r="O257" s="284">
        <v>98.337999999999994</v>
      </c>
      <c r="P257" s="284">
        <v>23.850999999999999</v>
      </c>
      <c r="Q257" s="302"/>
      <c r="R257" s="415">
        <v>30</v>
      </c>
      <c r="S257" s="416">
        <v>170</v>
      </c>
      <c r="T257" s="287">
        <f>IF(CampList[[#This Row],[HH]]&gt;0,CampList[[#This Row],[Total]]/CampList[[#This Row],[HH]],"NA")</f>
        <v>5.666666666666667</v>
      </c>
      <c r="U257" s="224" t="s">
        <v>465</v>
      </c>
      <c r="V257" s="276" t="s">
        <v>1013</v>
      </c>
      <c r="W257" s="276" t="s">
        <v>1574</v>
      </c>
      <c r="X257" s="276" t="s">
        <v>786</v>
      </c>
      <c r="Y257" s="303">
        <v>42401</v>
      </c>
      <c r="Z257" s="289"/>
      <c r="AA257" s="275" t="s">
        <v>776</v>
      </c>
      <c r="AB257" s="290">
        <v>42562</v>
      </c>
      <c r="AC257" s="290">
        <v>42927</v>
      </c>
      <c r="AD257" s="283" t="s">
        <v>1585</v>
      </c>
      <c r="AE257" s="276" t="str">
        <f ca="1">IFERROR(OFFSET(DistanceToCamp[Nearest Town],MATCH(CampList[[#This Row],[CP_Pcode]],DistanceToCamp[CP_Pcode],0)-1,0,1,1),"")</f>
        <v/>
      </c>
      <c r="AF257" s="292" t="str">
        <f ca="1">IFERROR(OFFSET(DistanceToCamp[distance],MATCH(CampList[[#This Row],[CP_Pcode]],DistanceToCamp[CP_Pcode],0)-1,0,1,1),"")</f>
        <v/>
      </c>
      <c r="AG257" s="306" t="str">
        <f ca="1">IFERROR(INT(CampList[[#This Row],[Distance]]/5)+1,"")</f>
        <v/>
      </c>
      <c r="AI257" s="489"/>
      <c r="AJ257" s="489"/>
    </row>
    <row r="258" spans="2:47" s="442" customFormat="1" ht="15.75" hidden="1" customHeight="1" x14ac:dyDescent="0.25">
      <c r="B258" s="423" t="s">
        <v>777</v>
      </c>
      <c r="C258" s="424" t="s">
        <v>507</v>
      </c>
      <c r="D258" s="424" t="s">
        <v>490</v>
      </c>
      <c r="E258" s="424" t="s">
        <v>495</v>
      </c>
      <c r="F258" s="424" t="s">
        <v>496</v>
      </c>
      <c r="G258" s="424" t="s">
        <v>297</v>
      </c>
      <c r="H258" s="424" t="s">
        <v>504</v>
      </c>
      <c r="I258" s="425" t="s">
        <v>757</v>
      </c>
      <c r="J258" s="426" t="s">
        <v>758</v>
      </c>
      <c r="K258" s="425" t="s">
        <v>759</v>
      </c>
      <c r="L258" s="425" t="s">
        <v>760</v>
      </c>
      <c r="M258" s="427" t="s">
        <v>1216</v>
      </c>
      <c r="N258" s="428" t="s">
        <v>1199</v>
      </c>
      <c r="O258" s="429">
        <v>97.400671000000003</v>
      </c>
      <c r="P258" s="429">
        <v>23.099304</v>
      </c>
      <c r="Q258" s="430"/>
      <c r="R258" s="470"/>
      <c r="S258" s="470"/>
      <c r="T258" s="432" t="str">
        <f>IF(CampList[[#This Row],[HH]]&gt;0,CampList[[#This Row],[Total]]/CampList[[#This Row],[HH]],"NA")</f>
        <v>NA</v>
      </c>
      <c r="U258" s="433" t="s">
        <v>465</v>
      </c>
      <c r="V258" s="434" t="s">
        <v>1013</v>
      </c>
      <c r="W258" s="435" t="s">
        <v>508</v>
      </c>
      <c r="X258" s="435" t="s">
        <v>743</v>
      </c>
      <c r="Y258" s="436"/>
      <c r="Z258" s="430"/>
      <c r="AA258" s="425" t="s">
        <v>776</v>
      </c>
      <c r="AB258" s="437">
        <v>42888</v>
      </c>
      <c r="AC258" s="437"/>
      <c r="AD258" s="438" t="s">
        <v>1280</v>
      </c>
      <c r="AE258" s="439" t="str">
        <f ca="1">IFERROR(OFFSET(DistanceToCamp[Nearest Town],MATCH(CampList[[#This Row],[CP_Pcode]],DistanceToCamp[CP_Pcode],0)-1,0,1,1),"")</f>
        <v/>
      </c>
      <c r="AF258" s="440" t="str">
        <f ca="1">IFERROR(OFFSET(DistanceToCamp[distance],MATCH(CampList[[#This Row],[CP_Pcode]],DistanceToCamp[CP_Pcode],0)-1,0,1,1),"")</f>
        <v/>
      </c>
      <c r="AG258" s="441" t="str">
        <f ca="1">IFERROR(INT(CampList[[#This Row],[Distance]]/5)+1,"")</f>
        <v/>
      </c>
      <c r="AI258" s="497"/>
      <c r="AJ258" s="497"/>
    </row>
    <row r="259" spans="2:47" s="203" customFormat="1" ht="15.75" hidden="1" customHeight="1" x14ac:dyDescent="0.25">
      <c r="B259" s="818" t="s">
        <v>777</v>
      </c>
      <c r="C259" s="274" t="s">
        <v>507</v>
      </c>
      <c r="D259" s="274" t="s">
        <v>490</v>
      </c>
      <c r="E259" s="274" t="s">
        <v>495</v>
      </c>
      <c r="F259" s="274" t="s">
        <v>496</v>
      </c>
      <c r="G259" s="274" t="s">
        <v>297</v>
      </c>
      <c r="H259" s="274" t="s">
        <v>504</v>
      </c>
      <c r="I259" s="362" t="s">
        <v>757</v>
      </c>
      <c r="J259" s="363" t="s">
        <v>758</v>
      </c>
      <c r="K259" s="362" t="s">
        <v>759</v>
      </c>
      <c r="L259" s="362" t="s">
        <v>760</v>
      </c>
      <c r="M259" s="274" t="s">
        <v>1218</v>
      </c>
      <c r="N259" s="275" t="s">
        <v>1200</v>
      </c>
      <c r="O259" s="365"/>
      <c r="P259" s="365"/>
      <c r="Q259" s="366"/>
      <c r="R259" s="418">
        <v>13</v>
      </c>
      <c r="S259" s="418">
        <v>45</v>
      </c>
      <c r="T259" s="367">
        <f>IF(CampList[[#This Row],[HH]]&gt;0,CampList[[#This Row],[Total]]/CampList[[#This Row],[HH]],"NA")</f>
        <v>3.4615384615384617</v>
      </c>
      <c r="U259" s="224" t="s">
        <v>465</v>
      </c>
      <c r="V259" s="368" t="s">
        <v>1013</v>
      </c>
      <c r="W259" s="276" t="s">
        <v>1574</v>
      </c>
      <c r="X259" s="222" t="s">
        <v>743</v>
      </c>
      <c r="Y259" s="369"/>
      <c r="Z259" s="366"/>
      <c r="AA259" s="362" t="s">
        <v>776</v>
      </c>
      <c r="AB259" s="370">
        <v>42752</v>
      </c>
      <c r="AC259" s="370"/>
      <c r="AD259" s="371" t="s">
        <v>1754</v>
      </c>
      <c r="AE259" s="372" t="str">
        <f ca="1">IFERROR(OFFSET(DistanceToCamp[Nearest Town],MATCH(CampList[[#This Row],[CP_Pcode]],DistanceToCamp[CP_Pcode],0)-1,0,1,1),"")</f>
        <v/>
      </c>
      <c r="AF259" s="373" t="str">
        <f ca="1">IFERROR(OFFSET(DistanceToCamp[distance],MATCH(CampList[[#This Row],[CP_Pcode]],DistanceToCamp[CP_Pcode],0)-1,0,1,1),"")</f>
        <v/>
      </c>
      <c r="AG259" s="374" t="str">
        <f ca="1">IFERROR(INT(CampList[[#This Row],[Distance]]/5)+1,"")</f>
        <v/>
      </c>
      <c r="AI259" s="489"/>
      <c r="AJ259" s="489"/>
    </row>
    <row r="260" spans="2:47" s="203" customFormat="1" ht="15.75" hidden="1" customHeight="1" x14ac:dyDescent="0.25">
      <c r="B260" s="423" t="s">
        <v>777</v>
      </c>
      <c r="C260" s="424" t="s">
        <v>507</v>
      </c>
      <c r="D260" s="424" t="s">
        <v>490</v>
      </c>
      <c r="E260" s="424" t="s">
        <v>495</v>
      </c>
      <c r="F260" s="424" t="s">
        <v>496</v>
      </c>
      <c r="G260" s="424" t="s">
        <v>297</v>
      </c>
      <c r="H260" s="424" t="s">
        <v>504</v>
      </c>
      <c r="I260" s="425" t="s">
        <v>757</v>
      </c>
      <c r="J260" s="426" t="s">
        <v>758</v>
      </c>
      <c r="K260" s="425" t="s">
        <v>759</v>
      </c>
      <c r="L260" s="425" t="s">
        <v>760</v>
      </c>
      <c r="M260" s="427" t="s">
        <v>1219</v>
      </c>
      <c r="N260" s="428" t="s">
        <v>1201</v>
      </c>
      <c r="O260" s="429"/>
      <c r="P260" s="429"/>
      <c r="Q260" s="430"/>
      <c r="R260" s="431"/>
      <c r="S260" s="431"/>
      <c r="T260" s="432" t="str">
        <f>IF(CampList[[#This Row],[HH]]&gt;0,CampList[[#This Row],[Total]]/CampList[[#This Row],[HH]],"NA")</f>
        <v>NA</v>
      </c>
      <c r="U260" s="433" t="s">
        <v>465</v>
      </c>
      <c r="V260" s="434" t="s">
        <v>1013</v>
      </c>
      <c r="W260" s="435" t="s">
        <v>508</v>
      </c>
      <c r="X260" s="435" t="s">
        <v>743</v>
      </c>
      <c r="Y260" s="436"/>
      <c r="Z260" s="430"/>
      <c r="AA260" s="425" t="s">
        <v>776</v>
      </c>
      <c r="AB260" s="456">
        <v>42919</v>
      </c>
      <c r="AC260" s="456"/>
      <c r="AD260" s="438" t="s">
        <v>1418</v>
      </c>
      <c r="AE260" s="439" t="str">
        <f ca="1">IFERROR(OFFSET(DistanceToCamp[Nearest Town],MATCH(CampList[[#This Row],[CP_Pcode]],DistanceToCamp[CP_Pcode],0)-1,0,1,1),"")</f>
        <v/>
      </c>
      <c r="AF260" s="440" t="str">
        <f ca="1">IFERROR(OFFSET(DistanceToCamp[distance],MATCH(CampList[[#This Row],[CP_Pcode]],DistanceToCamp[CP_Pcode],0)-1,0,1,1),"")</f>
        <v/>
      </c>
      <c r="AG260" s="441" t="str">
        <f ca="1">IFERROR(INT(CampList[[#This Row],[Distance]]/5)+1,"")</f>
        <v/>
      </c>
      <c r="AI260" s="489"/>
      <c r="AJ260" s="489"/>
    </row>
    <row r="261" spans="2:47" s="203" customFormat="1" ht="15.75" hidden="1" customHeight="1" x14ac:dyDescent="0.25">
      <c r="B261" s="423" t="s">
        <v>777</v>
      </c>
      <c r="C261" s="424" t="s">
        <v>507</v>
      </c>
      <c r="D261" s="424" t="s">
        <v>490</v>
      </c>
      <c r="E261" s="424" t="s">
        <v>495</v>
      </c>
      <c r="F261" s="424" t="s">
        <v>496</v>
      </c>
      <c r="G261" s="424" t="s">
        <v>297</v>
      </c>
      <c r="H261" s="424" t="s">
        <v>504</v>
      </c>
      <c r="I261" s="425" t="s">
        <v>757</v>
      </c>
      <c r="J261" s="426" t="s">
        <v>758</v>
      </c>
      <c r="K261" s="425" t="s">
        <v>759</v>
      </c>
      <c r="L261" s="425" t="s">
        <v>760</v>
      </c>
      <c r="M261" s="427" t="s">
        <v>1220</v>
      </c>
      <c r="N261" s="428" t="s">
        <v>1202</v>
      </c>
      <c r="O261" s="429"/>
      <c r="P261" s="429"/>
      <c r="Q261" s="430"/>
      <c r="R261" s="431"/>
      <c r="S261" s="431"/>
      <c r="T261" s="432" t="str">
        <f>IF(CampList[[#This Row],[HH]]&gt;0,CampList[[#This Row],[Total]]/CampList[[#This Row],[HH]],"NA")</f>
        <v>NA</v>
      </c>
      <c r="U261" s="433" t="s">
        <v>465</v>
      </c>
      <c r="V261" s="434" t="s">
        <v>1013</v>
      </c>
      <c r="W261" s="435" t="s">
        <v>508</v>
      </c>
      <c r="X261" s="435" t="s">
        <v>743</v>
      </c>
      <c r="Y261" s="436"/>
      <c r="Z261" s="430"/>
      <c r="AA261" s="425" t="s">
        <v>776</v>
      </c>
      <c r="AB261" s="456">
        <v>42919</v>
      </c>
      <c r="AC261" s="456"/>
      <c r="AD261" s="438" t="s">
        <v>1418</v>
      </c>
      <c r="AE261" s="439" t="str">
        <f ca="1">IFERROR(OFFSET(DistanceToCamp[Nearest Town],MATCH(CampList[[#This Row],[CP_Pcode]],DistanceToCamp[CP_Pcode],0)-1,0,1,1),"")</f>
        <v/>
      </c>
      <c r="AF261" s="440" t="str">
        <f ca="1">IFERROR(OFFSET(DistanceToCamp[distance],MATCH(CampList[[#This Row],[CP_Pcode]],DistanceToCamp[CP_Pcode],0)-1,0,1,1),"")</f>
        <v/>
      </c>
      <c r="AG261" s="441" t="str">
        <f ca="1">IFERROR(INT(CampList[[#This Row],[Distance]]/5)+1,"")</f>
        <v/>
      </c>
      <c r="AI261" s="489"/>
      <c r="AJ261" s="489"/>
    </row>
    <row r="262" spans="2:47" s="277" customFormat="1" ht="15.75" customHeight="1" x14ac:dyDescent="0.25">
      <c r="B262" s="361" t="s">
        <v>460</v>
      </c>
      <c r="C262" s="274" t="s">
        <v>507</v>
      </c>
      <c r="D262" s="274" t="s">
        <v>490</v>
      </c>
      <c r="E262" s="274" t="s">
        <v>495</v>
      </c>
      <c r="F262" s="274" t="s">
        <v>496</v>
      </c>
      <c r="G262" s="274" t="s">
        <v>297</v>
      </c>
      <c r="H262" s="274" t="s">
        <v>504</v>
      </c>
      <c r="I262" s="362" t="s">
        <v>757</v>
      </c>
      <c r="J262" s="363" t="s">
        <v>758</v>
      </c>
      <c r="K262" s="362" t="s">
        <v>759</v>
      </c>
      <c r="L262" s="362" t="s">
        <v>760</v>
      </c>
      <c r="M262" s="274" t="s">
        <v>1221</v>
      </c>
      <c r="N262" s="275" t="s">
        <v>1203</v>
      </c>
      <c r="O262" s="365"/>
      <c r="P262" s="365"/>
      <c r="Q262" s="366"/>
      <c r="R262" s="828">
        <v>25</v>
      </c>
      <c r="S262" s="828">
        <v>123</v>
      </c>
      <c r="T262" s="367">
        <f>IF(CampList[[#This Row],[HH]]&gt;0,CampList[[#This Row],[Total]]/CampList[[#This Row],[HH]],"NA")</f>
        <v>4.92</v>
      </c>
      <c r="U262" s="224" t="s">
        <v>465</v>
      </c>
      <c r="V262" s="368" t="s">
        <v>1013</v>
      </c>
      <c r="W262" s="276" t="s">
        <v>1574</v>
      </c>
      <c r="X262" s="222" t="s">
        <v>743</v>
      </c>
      <c r="Y262" s="369"/>
      <c r="Z262" s="302" t="s">
        <v>1066</v>
      </c>
      <c r="AA262" s="362" t="s">
        <v>776</v>
      </c>
      <c r="AB262" s="290">
        <v>43008</v>
      </c>
      <c r="AC262" s="370">
        <v>42904</v>
      </c>
      <c r="AD262" s="371" t="s">
        <v>1721</v>
      </c>
      <c r="AE262" s="372" t="str">
        <f ca="1">IFERROR(OFFSET(DistanceToCamp[Nearest Town],MATCH(CampList[[#This Row],[CP_Pcode]],DistanceToCamp[CP_Pcode],0)-1,0,1,1),"")</f>
        <v/>
      </c>
      <c r="AF262" s="373" t="str">
        <f ca="1">IFERROR(OFFSET(DistanceToCamp[distance],MATCH(CampList[[#This Row],[CP_Pcode]],DistanceToCamp[CP_Pcode],0)-1,0,1,1),"")</f>
        <v/>
      </c>
      <c r="AG262" s="374" t="str">
        <f ca="1">IFERROR(INT(CampList[[#This Row],[Distance]]/5)+1,"")</f>
        <v/>
      </c>
      <c r="AH262" s="203"/>
      <c r="AI262" s="489"/>
      <c r="AJ262" s="489"/>
      <c r="AT262" s="278"/>
      <c r="AU262" s="278"/>
    </row>
    <row r="263" spans="2:47" s="277" customFormat="1" ht="15.75" hidden="1" customHeight="1" x14ac:dyDescent="0.25">
      <c r="B263" s="361" t="s">
        <v>777</v>
      </c>
      <c r="C263" s="274" t="s">
        <v>507</v>
      </c>
      <c r="D263" s="274" t="s">
        <v>490</v>
      </c>
      <c r="E263" s="274" t="s">
        <v>230</v>
      </c>
      <c r="F263" s="274" t="s">
        <v>491</v>
      </c>
      <c r="G263" s="274" t="s">
        <v>230</v>
      </c>
      <c r="H263" s="274" t="s">
        <v>492</v>
      </c>
      <c r="I263" s="362" t="s">
        <v>903</v>
      </c>
      <c r="J263" s="363" t="s">
        <v>904</v>
      </c>
      <c r="K263" s="362" t="s">
        <v>905</v>
      </c>
      <c r="L263" s="362" t="s">
        <v>906</v>
      </c>
      <c r="M263" s="364" t="s">
        <v>1228</v>
      </c>
      <c r="N263" s="275" t="s">
        <v>1204</v>
      </c>
      <c r="O263" s="365"/>
      <c r="P263" s="365"/>
      <c r="Q263" s="366"/>
      <c r="R263" s="222"/>
      <c r="S263" s="375"/>
      <c r="T263" s="367" t="str">
        <f>IF(CampList[[#This Row],[HH]]&gt;0,CampList[[#This Row],[Total]]/CampList[[#This Row],[HH]],"NA")</f>
        <v>NA</v>
      </c>
      <c r="U263" s="224" t="s">
        <v>465</v>
      </c>
      <c r="V263" s="368" t="s">
        <v>1013</v>
      </c>
      <c r="W263" s="222" t="s">
        <v>508</v>
      </c>
      <c r="X263" s="222" t="s">
        <v>743</v>
      </c>
      <c r="Y263" s="369"/>
      <c r="Z263" s="366"/>
      <c r="AA263" s="362" t="s">
        <v>776</v>
      </c>
      <c r="AB263" s="370">
        <v>42831</v>
      </c>
      <c r="AC263" s="370"/>
      <c r="AD263" s="371" t="s">
        <v>1257</v>
      </c>
      <c r="AE263" s="372" t="str">
        <f ca="1">IFERROR(OFFSET(DistanceToCamp[Nearest Town],MATCH(CampList[[#This Row],[CP_Pcode]],DistanceToCamp[CP_Pcode],0)-1,0,1,1),"")</f>
        <v/>
      </c>
      <c r="AF263" s="373" t="str">
        <f ca="1">IFERROR(OFFSET(DistanceToCamp[distance],MATCH(CampList[[#This Row],[CP_Pcode]],DistanceToCamp[CP_Pcode],0)-1,0,1,1),"")</f>
        <v/>
      </c>
      <c r="AG263" s="374" t="str">
        <f ca="1">IFERROR(INT(CampList[[#This Row],[Distance]]/5)+1,"")</f>
        <v/>
      </c>
      <c r="AH263" s="203"/>
      <c r="AI263" s="489">
        <v>200</v>
      </c>
      <c r="AJ263" s="489">
        <v>827</v>
      </c>
      <c r="AT263" s="278"/>
      <c r="AU263" s="278"/>
    </row>
    <row r="264" spans="2:47" s="277" customFormat="1" ht="15.75" hidden="1" customHeight="1" x14ac:dyDescent="0.25">
      <c r="B264" s="361" t="s">
        <v>777</v>
      </c>
      <c r="C264" s="274" t="s">
        <v>507</v>
      </c>
      <c r="D264" s="274" t="s">
        <v>490</v>
      </c>
      <c r="E264" s="274" t="s">
        <v>230</v>
      </c>
      <c r="F264" s="274" t="s">
        <v>491</v>
      </c>
      <c r="G264" s="274" t="s">
        <v>230</v>
      </c>
      <c r="H264" s="274" t="s">
        <v>492</v>
      </c>
      <c r="I264" s="362" t="s">
        <v>903</v>
      </c>
      <c r="J264" s="363" t="s">
        <v>904</v>
      </c>
      <c r="K264" s="362" t="s">
        <v>1232</v>
      </c>
      <c r="L264" s="362" t="s">
        <v>1233</v>
      </c>
      <c r="M264" s="364" t="s">
        <v>1238</v>
      </c>
      <c r="N264" s="275" t="s">
        <v>1205</v>
      </c>
      <c r="O264" s="365"/>
      <c r="P264" s="365"/>
      <c r="Q264" s="366"/>
      <c r="R264" s="222"/>
      <c r="S264" s="375"/>
      <c r="T264" s="367" t="str">
        <f>IF(CampList[[#This Row],[HH]]&gt;0,CampList[[#This Row],[Total]]/CampList[[#This Row],[HH]],"NA")</f>
        <v>NA</v>
      </c>
      <c r="U264" s="224" t="s">
        <v>465</v>
      </c>
      <c r="V264" s="368" t="s">
        <v>1013</v>
      </c>
      <c r="W264" s="222" t="s">
        <v>508</v>
      </c>
      <c r="X264" s="222" t="s">
        <v>743</v>
      </c>
      <c r="Y264" s="369"/>
      <c r="Z264" s="366"/>
      <c r="AA264" s="362"/>
      <c r="AB264" s="370">
        <v>42752</v>
      </c>
      <c r="AC264" s="370"/>
      <c r="AD264" s="371" t="s">
        <v>1217</v>
      </c>
      <c r="AE264" s="372" t="str">
        <f ca="1">IFERROR(OFFSET(DistanceToCamp[Nearest Town],MATCH(CampList[[#This Row],[CP_Pcode]],DistanceToCamp[CP_Pcode],0)-1,0,1,1),"")</f>
        <v/>
      </c>
      <c r="AF264" s="373" t="str">
        <f ca="1">IFERROR(OFFSET(DistanceToCamp[distance],MATCH(CampList[[#This Row],[CP_Pcode]],DistanceToCamp[CP_Pcode],0)-1,0,1,1),"")</f>
        <v/>
      </c>
      <c r="AG264" s="374" t="str">
        <f ca="1">IFERROR(INT(CampList[[#This Row],[Distance]]/5)+1,"")</f>
        <v/>
      </c>
      <c r="AH264" s="203"/>
      <c r="AI264" s="489"/>
      <c r="AJ264" s="489"/>
      <c r="AT264" s="278"/>
      <c r="AU264" s="278"/>
    </row>
    <row r="265" spans="2:47" s="277" customFormat="1" ht="15.75" hidden="1" customHeight="1" x14ac:dyDescent="0.25">
      <c r="B265" s="361" t="s">
        <v>777</v>
      </c>
      <c r="C265" s="274" t="s">
        <v>507</v>
      </c>
      <c r="D265" s="274" t="s">
        <v>490</v>
      </c>
      <c r="E265" s="274" t="s">
        <v>230</v>
      </c>
      <c r="F265" s="274" t="s">
        <v>491</v>
      </c>
      <c r="G265" s="274" t="s">
        <v>230</v>
      </c>
      <c r="H265" s="274" t="s">
        <v>492</v>
      </c>
      <c r="I265" s="362" t="s">
        <v>903</v>
      </c>
      <c r="J265" s="363" t="s">
        <v>904</v>
      </c>
      <c r="K265" s="362" t="s">
        <v>1234</v>
      </c>
      <c r="L265" s="362" t="s">
        <v>1235</v>
      </c>
      <c r="M265" s="364" t="s">
        <v>1239</v>
      </c>
      <c r="N265" s="275" t="s">
        <v>1206</v>
      </c>
      <c r="O265" s="365"/>
      <c r="P265" s="365"/>
      <c r="Q265" s="366"/>
      <c r="R265" s="222"/>
      <c r="S265" s="375"/>
      <c r="T265" s="367" t="str">
        <f>IF(CampList[[#This Row],[HH]]&gt;0,CampList[[#This Row],[Total]]/CampList[[#This Row],[HH]],"NA")</f>
        <v>NA</v>
      </c>
      <c r="U265" s="224" t="s">
        <v>465</v>
      </c>
      <c r="V265" s="368" t="s">
        <v>1013</v>
      </c>
      <c r="W265" s="222" t="s">
        <v>508</v>
      </c>
      <c r="X265" s="222" t="s">
        <v>743</v>
      </c>
      <c r="Y265" s="369"/>
      <c r="Z265" s="366"/>
      <c r="AA265" s="362"/>
      <c r="AB265" s="370">
        <v>42752</v>
      </c>
      <c r="AC265" s="370"/>
      <c r="AD265" s="371" t="s">
        <v>1217</v>
      </c>
      <c r="AE265" s="372" t="str">
        <f ca="1">IFERROR(OFFSET(DistanceToCamp[Nearest Town],MATCH(CampList[[#This Row],[CP_Pcode]],DistanceToCamp[CP_Pcode],0)-1,0,1,1),"")</f>
        <v/>
      </c>
      <c r="AF265" s="373" t="str">
        <f ca="1">IFERROR(OFFSET(DistanceToCamp[distance],MATCH(CampList[[#This Row],[CP_Pcode]],DistanceToCamp[CP_Pcode],0)-1,0,1,1),"")</f>
        <v/>
      </c>
      <c r="AG265" s="374" t="str">
        <f ca="1">IFERROR(INT(CampList[[#This Row],[Distance]]/5)+1,"")</f>
        <v/>
      </c>
      <c r="AH265" s="203"/>
      <c r="AI265" s="489"/>
      <c r="AJ265" s="489"/>
      <c r="AT265" s="278"/>
      <c r="AU265" s="278"/>
    </row>
    <row r="266" spans="2:47" s="277" customFormat="1" ht="15.75" hidden="1" customHeight="1" x14ac:dyDescent="0.25">
      <c r="B266" s="361" t="s">
        <v>777</v>
      </c>
      <c r="C266" s="274" t="s">
        <v>507</v>
      </c>
      <c r="D266" s="274" t="s">
        <v>490</v>
      </c>
      <c r="E266" s="274" t="s">
        <v>230</v>
      </c>
      <c r="F266" s="274" t="s">
        <v>491</v>
      </c>
      <c r="G266" s="274" t="s">
        <v>230</v>
      </c>
      <c r="H266" s="274" t="s">
        <v>492</v>
      </c>
      <c r="I266" s="362"/>
      <c r="J266" s="363"/>
      <c r="K266" s="362"/>
      <c r="L266" s="362"/>
      <c r="M266" s="364" t="s">
        <v>1229</v>
      </c>
      <c r="N266" s="275" t="s">
        <v>1207</v>
      </c>
      <c r="O266" s="365"/>
      <c r="P266" s="365"/>
      <c r="Q266" s="366"/>
      <c r="R266" s="222"/>
      <c r="S266" s="375"/>
      <c r="T266" s="367" t="str">
        <f>IF(CampList[[#This Row],[HH]]&gt;0,CampList[[#This Row],[Total]]/CampList[[#This Row],[HH]],"NA")</f>
        <v>NA</v>
      </c>
      <c r="U266" s="224" t="s">
        <v>465</v>
      </c>
      <c r="V266" s="368" t="s">
        <v>1013</v>
      </c>
      <c r="W266" s="222" t="s">
        <v>508</v>
      </c>
      <c r="X266" s="222"/>
      <c r="Y266" s="369"/>
      <c r="Z266" s="366"/>
      <c r="AA266" s="362" t="s">
        <v>776</v>
      </c>
      <c r="AB266" s="370">
        <v>42831</v>
      </c>
      <c r="AC266" s="370"/>
      <c r="AD266" s="371" t="s">
        <v>1257</v>
      </c>
      <c r="AE266" s="372" t="str">
        <f ca="1">IFERROR(OFFSET(DistanceToCamp[Nearest Town],MATCH(CampList[[#This Row],[CP_Pcode]],DistanceToCamp[CP_Pcode],0)-1,0,1,1),"")</f>
        <v/>
      </c>
      <c r="AF266" s="373" t="str">
        <f ca="1">IFERROR(OFFSET(DistanceToCamp[distance],MATCH(CampList[[#This Row],[CP_Pcode]],DistanceToCamp[CP_Pcode],0)-1,0,1,1),"")</f>
        <v/>
      </c>
      <c r="AG266" s="374" t="str">
        <f ca="1">IFERROR(INT(CampList[[#This Row],[Distance]]/5)+1,"")</f>
        <v/>
      </c>
      <c r="AH266" s="203"/>
      <c r="AI266" s="489"/>
      <c r="AJ266" s="489"/>
      <c r="AT266" s="278"/>
      <c r="AU266" s="278"/>
    </row>
    <row r="267" spans="2:47" s="277" customFormat="1" ht="15.75" hidden="1" customHeight="1" x14ac:dyDescent="0.25">
      <c r="B267" s="361" t="s">
        <v>777</v>
      </c>
      <c r="C267" s="274" t="s">
        <v>507</v>
      </c>
      <c r="D267" s="274" t="s">
        <v>490</v>
      </c>
      <c r="E267" s="274" t="s">
        <v>230</v>
      </c>
      <c r="F267" s="274" t="s">
        <v>491</v>
      </c>
      <c r="G267" s="274" t="s">
        <v>230</v>
      </c>
      <c r="H267" s="274" t="s">
        <v>492</v>
      </c>
      <c r="I267" s="362" t="s">
        <v>903</v>
      </c>
      <c r="J267" s="363" t="s">
        <v>904</v>
      </c>
      <c r="K267" s="362" t="s">
        <v>1236</v>
      </c>
      <c r="L267" s="362" t="s">
        <v>1237</v>
      </c>
      <c r="M267" s="364" t="s">
        <v>1240</v>
      </c>
      <c r="N267" s="275" t="s">
        <v>1208</v>
      </c>
      <c r="O267" s="365"/>
      <c r="P267" s="365"/>
      <c r="Q267" s="366"/>
      <c r="R267" s="222"/>
      <c r="S267" s="375"/>
      <c r="T267" s="367" t="str">
        <f>IF(CampList[[#This Row],[HH]]&gt;0,CampList[[#This Row],[Total]]/CampList[[#This Row],[HH]],"NA")</f>
        <v>NA</v>
      </c>
      <c r="U267" s="224" t="s">
        <v>465</v>
      </c>
      <c r="V267" s="368" t="s">
        <v>1013</v>
      </c>
      <c r="W267" s="222" t="s">
        <v>508</v>
      </c>
      <c r="X267" s="222" t="s">
        <v>743</v>
      </c>
      <c r="Y267" s="369"/>
      <c r="Z267" s="366"/>
      <c r="AA267" s="362" t="s">
        <v>776</v>
      </c>
      <c r="AB267" s="370">
        <v>42831</v>
      </c>
      <c r="AC267" s="370"/>
      <c r="AD267" s="371" t="s">
        <v>1257</v>
      </c>
      <c r="AE267" s="372" t="str">
        <f ca="1">IFERROR(OFFSET(DistanceToCamp[Nearest Town],MATCH(CampList[[#This Row],[CP_Pcode]],DistanceToCamp[CP_Pcode],0)-1,0,1,1),"")</f>
        <v/>
      </c>
      <c r="AF267" s="373" t="str">
        <f ca="1">IFERROR(OFFSET(DistanceToCamp[distance],MATCH(CampList[[#This Row],[CP_Pcode]],DistanceToCamp[CP_Pcode],0)-1,0,1,1),"")</f>
        <v/>
      </c>
      <c r="AG267" s="374" t="str">
        <f ca="1">IFERROR(INT(CampList[[#This Row],[Distance]]/5)+1,"")</f>
        <v/>
      </c>
      <c r="AH267" s="203"/>
      <c r="AI267" s="489"/>
      <c r="AJ267" s="489"/>
      <c r="AT267" s="278"/>
      <c r="AU267" s="278"/>
    </row>
    <row r="268" spans="2:47" s="277" customFormat="1" ht="15.75" hidden="1" customHeight="1" x14ac:dyDescent="0.25">
      <c r="B268" s="283" t="s">
        <v>777</v>
      </c>
      <c r="C268" s="274" t="s">
        <v>378</v>
      </c>
      <c r="D268" s="274" t="s">
        <v>479</v>
      </c>
      <c r="E268" s="274" t="s">
        <v>180</v>
      </c>
      <c r="F268" s="274" t="s">
        <v>480</v>
      </c>
      <c r="G268" s="274" t="s">
        <v>481</v>
      </c>
      <c r="H268" s="274" t="s">
        <v>482</v>
      </c>
      <c r="I268" s="291" t="s">
        <v>653</v>
      </c>
      <c r="J268" s="291" t="s">
        <v>654</v>
      </c>
      <c r="K268" s="291" t="s">
        <v>653</v>
      </c>
      <c r="L268" s="291">
        <v>166794</v>
      </c>
      <c r="M268" s="274" t="s">
        <v>132</v>
      </c>
      <c r="N268" s="274" t="s">
        <v>131</v>
      </c>
      <c r="O268" s="284"/>
      <c r="P268" s="284"/>
      <c r="Q268" s="301"/>
      <c r="R268" s="376">
        <v>0</v>
      </c>
      <c r="S268" s="377">
        <v>0</v>
      </c>
      <c r="T268" s="287" t="str">
        <f>IF(CampList[[#This Row],[HH]]&gt;0,CampList[[#This Row],[Total]]/CampList[[#This Row],[HH]],"NA")</f>
        <v>NA</v>
      </c>
      <c r="U268" s="276" t="s">
        <v>465</v>
      </c>
      <c r="V268" s="294" t="s">
        <v>1013</v>
      </c>
      <c r="W268" s="276" t="s">
        <v>508</v>
      </c>
      <c r="X268" s="294"/>
      <c r="Y268" s="310"/>
      <c r="Z268" s="311"/>
      <c r="AA268" s="403"/>
      <c r="AB268" s="314"/>
      <c r="AC268" s="314"/>
      <c r="AD268" s="283"/>
      <c r="AE268" s="276" t="str">
        <f ca="1">IFERROR(OFFSET(DistanceToCamp[Nearest Town],MATCH(CampList[[#This Row],[CP_Pcode]],DistanceToCamp[CP_Pcode],0)-1,0,1,1),"")</f>
        <v/>
      </c>
      <c r="AF268" s="292" t="str">
        <f ca="1">IFERROR(OFFSET(DistanceToCamp[distance],MATCH(CampList[[#This Row],[CP_Pcode]],DistanceToCamp[CP_Pcode],0)-1,0,1,1),"")</f>
        <v/>
      </c>
      <c r="AG268" s="293" t="str">
        <f ca="1">IFERROR(INT(CampList[[#This Row],[Distance]]/5)+1,"")</f>
        <v/>
      </c>
      <c r="AH268" s="203"/>
      <c r="AI268" s="489">
        <v>224</v>
      </c>
      <c r="AJ268" s="489">
        <v>767</v>
      </c>
      <c r="AT268" s="278"/>
      <c r="AU268" s="278"/>
    </row>
    <row r="269" spans="2:47" s="277" customFormat="1" ht="15.75" hidden="1" customHeight="1" x14ac:dyDescent="0.25">
      <c r="B269" s="361" t="s">
        <v>777</v>
      </c>
      <c r="C269" s="274" t="s">
        <v>507</v>
      </c>
      <c r="D269" s="274" t="s">
        <v>490</v>
      </c>
      <c r="E269" s="274" t="s">
        <v>230</v>
      </c>
      <c r="F269" s="274" t="s">
        <v>491</v>
      </c>
      <c r="G269" s="274" t="s">
        <v>230</v>
      </c>
      <c r="H269" s="274" t="s">
        <v>492</v>
      </c>
      <c r="I269" s="362" t="s">
        <v>1241</v>
      </c>
      <c r="J269" s="363" t="s">
        <v>1242</v>
      </c>
      <c r="K269" s="362" t="s">
        <v>1243</v>
      </c>
      <c r="L269" s="362">
        <v>208003</v>
      </c>
      <c r="M269" s="364" t="s">
        <v>1244</v>
      </c>
      <c r="N269" s="275" t="s">
        <v>1209</v>
      </c>
      <c r="O269" s="365"/>
      <c r="P269" s="365"/>
      <c r="Q269" s="366"/>
      <c r="R269" s="222"/>
      <c r="S269" s="375"/>
      <c r="T269" s="367" t="str">
        <f>IF(CampList[[#This Row],[HH]]&gt;0,CampList[[#This Row],[Total]]/CampList[[#This Row],[HH]],"NA")</f>
        <v>NA</v>
      </c>
      <c r="U269" s="224" t="s">
        <v>465</v>
      </c>
      <c r="V269" s="368" t="s">
        <v>1013</v>
      </c>
      <c r="W269" s="222" t="s">
        <v>508</v>
      </c>
      <c r="X269" s="222" t="s">
        <v>786</v>
      </c>
      <c r="Y269" s="369"/>
      <c r="Z269" s="366"/>
      <c r="AA269" s="362" t="s">
        <v>776</v>
      </c>
      <c r="AB269" s="370">
        <v>42831</v>
      </c>
      <c r="AC269" s="370"/>
      <c r="AD269" s="371" t="s">
        <v>1257</v>
      </c>
      <c r="AE269" s="372" t="str">
        <f ca="1">IFERROR(OFFSET(DistanceToCamp[Nearest Town],MATCH(CampList[[#This Row],[CP_Pcode]],DistanceToCamp[CP_Pcode],0)-1,0,1,1),"")</f>
        <v/>
      </c>
      <c r="AF269" s="373" t="str">
        <f ca="1">IFERROR(OFFSET(DistanceToCamp[distance],MATCH(CampList[[#This Row],[CP_Pcode]],DistanceToCamp[CP_Pcode],0)-1,0,1,1),"")</f>
        <v/>
      </c>
      <c r="AG269" s="374" t="str">
        <f ca="1">IFERROR(INT(CampList[[#This Row],[Distance]]/5)+1,"")</f>
        <v/>
      </c>
      <c r="AH269" s="203"/>
      <c r="AI269" s="489"/>
      <c r="AJ269" s="489"/>
      <c r="AT269" s="278"/>
      <c r="AU269" s="278"/>
    </row>
    <row r="270" spans="2:47" s="443" customFormat="1" ht="15.75" hidden="1" customHeight="1" x14ac:dyDescent="0.25">
      <c r="B270" s="361" t="s">
        <v>777</v>
      </c>
      <c r="C270" s="274" t="s">
        <v>507</v>
      </c>
      <c r="D270" s="274" t="s">
        <v>490</v>
      </c>
      <c r="E270" s="274" t="s">
        <v>230</v>
      </c>
      <c r="F270" s="274" t="s">
        <v>491</v>
      </c>
      <c r="G270" s="274" t="s">
        <v>230</v>
      </c>
      <c r="H270" s="274" t="s">
        <v>492</v>
      </c>
      <c r="I270" s="362" t="s">
        <v>903</v>
      </c>
      <c r="J270" s="363" t="s">
        <v>904</v>
      </c>
      <c r="K270" s="362" t="s">
        <v>905</v>
      </c>
      <c r="L270" s="362" t="s">
        <v>906</v>
      </c>
      <c r="M270" s="364" t="s">
        <v>1222</v>
      </c>
      <c r="N270" s="275" t="s">
        <v>1210</v>
      </c>
      <c r="O270" s="365"/>
      <c r="P270" s="365"/>
      <c r="Q270" s="366"/>
      <c r="R270" s="222"/>
      <c r="S270" s="375"/>
      <c r="T270" s="367" t="str">
        <f>IF(CampList[[#This Row],[HH]]&gt;0,CampList[[#This Row],[Total]]/CampList[[#This Row],[HH]],"NA")</f>
        <v>NA</v>
      </c>
      <c r="U270" s="224" t="s">
        <v>465</v>
      </c>
      <c r="V270" s="368" t="s">
        <v>1013</v>
      </c>
      <c r="W270" s="222" t="s">
        <v>508</v>
      </c>
      <c r="X270" s="222" t="s">
        <v>743</v>
      </c>
      <c r="Y270" s="369"/>
      <c r="Z270" s="366"/>
      <c r="AA270" s="362" t="s">
        <v>776</v>
      </c>
      <c r="AB270" s="370">
        <v>42831</v>
      </c>
      <c r="AC270" s="370"/>
      <c r="AD270" s="371" t="s">
        <v>1257</v>
      </c>
      <c r="AE270" s="372" t="str">
        <f ca="1">IFERROR(OFFSET(DistanceToCamp[Nearest Town],MATCH(CampList[[#This Row],[CP_Pcode]],DistanceToCamp[CP_Pcode],0)-1,0,1,1),"")</f>
        <v/>
      </c>
      <c r="AF270" s="373" t="str">
        <f ca="1">IFERROR(OFFSET(DistanceToCamp[distance],MATCH(CampList[[#This Row],[CP_Pcode]],DistanceToCamp[CP_Pcode],0)-1,0,1,1),"")</f>
        <v/>
      </c>
      <c r="AG270" s="374" t="str">
        <f ca="1">IFERROR(INT(CampList[[#This Row],[Distance]]/5)+1,"")</f>
        <v/>
      </c>
      <c r="AH270" s="442"/>
      <c r="AI270" s="497"/>
      <c r="AJ270" s="497"/>
      <c r="AT270" s="444"/>
      <c r="AU270" s="444"/>
    </row>
    <row r="271" spans="2:47" s="443" customFormat="1" ht="15.75" hidden="1" customHeight="1" x14ac:dyDescent="0.25">
      <c r="B271" s="361" t="s">
        <v>777</v>
      </c>
      <c r="C271" s="274" t="s">
        <v>507</v>
      </c>
      <c r="D271" s="274" t="s">
        <v>490</v>
      </c>
      <c r="E271" s="274" t="s">
        <v>230</v>
      </c>
      <c r="F271" s="274" t="s">
        <v>491</v>
      </c>
      <c r="G271" s="274" t="s">
        <v>230</v>
      </c>
      <c r="H271" s="274" t="s">
        <v>492</v>
      </c>
      <c r="I271" s="362" t="s">
        <v>903</v>
      </c>
      <c r="J271" s="363" t="s">
        <v>904</v>
      </c>
      <c r="K271" s="362"/>
      <c r="L271" s="362"/>
      <c r="M271" s="364" t="s">
        <v>1223</v>
      </c>
      <c r="N271" s="275" t="s">
        <v>1211</v>
      </c>
      <c r="O271" s="365"/>
      <c r="P271" s="365"/>
      <c r="Q271" s="366"/>
      <c r="R271" s="222"/>
      <c r="S271" s="375"/>
      <c r="T271" s="367" t="str">
        <f>IF(CampList[[#This Row],[HH]]&gt;0,CampList[[#This Row],[Total]]/CampList[[#This Row],[HH]],"NA")</f>
        <v>NA</v>
      </c>
      <c r="U271" s="224" t="s">
        <v>465</v>
      </c>
      <c r="V271" s="368" t="s">
        <v>1013</v>
      </c>
      <c r="W271" s="222" t="s">
        <v>508</v>
      </c>
      <c r="X271" s="222"/>
      <c r="Y271" s="369"/>
      <c r="Z271" s="366"/>
      <c r="AA271" s="362"/>
      <c r="AB271" s="370">
        <v>42752</v>
      </c>
      <c r="AC271" s="370"/>
      <c r="AD271" s="371" t="s">
        <v>1217</v>
      </c>
      <c r="AE271" s="372" t="str">
        <f ca="1">IFERROR(OFFSET(DistanceToCamp[Nearest Town],MATCH(CampList[[#This Row],[CP_Pcode]],DistanceToCamp[CP_Pcode],0)-1,0,1,1),"")</f>
        <v/>
      </c>
      <c r="AF271" s="373" t="str">
        <f ca="1">IFERROR(OFFSET(DistanceToCamp[distance],MATCH(CampList[[#This Row],[CP_Pcode]],DistanceToCamp[CP_Pcode],0)-1,0,1,1),"")</f>
        <v/>
      </c>
      <c r="AG271" s="374" t="str">
        <f ca="1">IFERROR(INT(CampList[[#This Row],[Distance]]/5)+1,"")</f>
        <v/>
      </c>
      <c r="AH271" s="442"/>
      <c r="AI271" s="497"/>
      <c r="AJ271" s="497"/>
      <c r="AT271" s="444"/>
      <c r="AU271" s="444"/>
    </row>
    <row r="272" spans="2:47" s="277" customFormat="1" ht="15.75" hidden="1" customHeight="1" x14ac:dyDescent="0.25">
      <c r="B272" s="361" t="s">
        <v>777</v>
      </c>
      <c r="C272" s="274" t="s">
        <v>507</v>
      </c>
      <c r="D272" s="274" t="s">
        <v>490</v>
      </c>
      <c r="E272" s="274" t="s">
        <v>230</v>
      </c>
      <c r="F272" s="274" t="s">
        <v>491</v>
      </c>
      <c r="G272" s="274" t="s">
        <v>230</v>
      </c>
      <c r="H272" s="274" t="s">
        <v>492</v>
      </c>
      <c r="I272" s="362" t="s">
        <v>903</v>
      </c>
      <c r="J272" s="363" t="s">
        <v>904</v>
      </c>
      <c r="K272" s="362" t="s">
        <v>905</v>
      </c>
      <c r="L272" s="362" t="s">
        <v>906</v>
      </c>
      <c r="M272" s="364" t="s">
        <v>1224</v>
      </c>
      <c r="N272" s="275" t="s">
        <v>1212</v>
      </c>
      <c r="O272" s="365"/>
      <c r="P272" s="365"/>
      <c r="Q272" s="366"/>
      <c r="R272" s="222"/>
      <c r="S272" s="375"/>
      <c r="T272" s="367" t="str">
        <f>IF(CampList[[#This Row],[HH]]&gt;0,CampList[[#This Row],[Total]]/CampList[[#This Row],[HH]],"NA")</f>
        <v>NA</v>
      </c>
      <c r="U272" s="224" t="s">
        <v>465</v>
      </c>
      <c r="V272" s="368" t="s">
        <v>1013</v>
      </c>
      <c r="W272" s="222" t="s">
        <v>508</v>
      </c>
      <c r="X272" s="222" t="s">
        <v>743</v>
      </c>
      <c r="Y272" s="369"/>
      <c r="Z272" s="366"/>
      <c r="AA272" s="362" t="s">
        <v>776</v>
      </c>
      <c r="AB272" s="370">
        <v>42831</v>
      </c>
      <c r="AC272" s="370"/>
      <c r="AD272" s="371" t="s">
        <v>1257</v>
      </c>
      <c r="AE272" s="372" t="str">
        <f ca="1">IFERROR(OFFSET(DistanceToCamp[Nearest Town],MATCH(CampList[[#This Row],[CP_Pcode]],DistanceToCamp[CP_Pcode],0)-1,0,1,1),"")</f>
        <v/>
      </c>
      <c r="AF272" s="373" t="str">
        <f ca="1">IFERROR(OFFSET(DistanceToCamp[distance],MATCH(CampList[[#This Row],[CP_Pcode]],DistanceToCamp[CP_Pcode],0)-1,0,1,1),"")</f>
        <v/>
      </c>
      <c r="AG272" s="374" t="str">
        <f ca="1">IFERROR(INT(CampList[[#This Row],[Distance]]/5)+1,"")</f>
        <v/>
      </c>
      <c r="AH272" s="203"/>
      <c r="AI272" s="489"/>
      <c r="AJ272" s="489"/>
      <c r="AT272" s="278"/>
      <c r="AU272" s="278"/>
    </row>
    <row r="273" spans="2:47" ht="15.75" hidden="1" customHeight="1" x14ac:dyDescent="0.25">
      <c r="B273" s="283" t="s">
        <v>777</v>
      </c>
      <c r="C273" s="274" t="s">
        <v>378</v>
      </c>
      <c r="D273" s="274" t="s">
        <v>479</v>
      </c>
      <c r="E273" s="274" t="s">
        <v>180</v>
      </c>
      <c r="F273" s="274" t="s">
        <v>480</v>
      </c>
      <c r="G273" s="274" t="s">
        <v>481</v>
      </c>
      <c r="H273" s="274" t="s">
        <v>482</v>
      </c>
      <c r="I273" s="275" t="s">
        <v>1181</v>
      </c>
      <c r="J273" s="300" t="s">
        <v>1182</v>
      </c>
      <c r="K273" s="275" t="s">
        <v>1189</v>
      </c>
      <c r="L273" s="275">
        <v>166819</v>
      </c>
      <c r="M273" s="21" t="s">
        <v>1185</v>
      </c>
      <c r="N273" s="275" t="s">
        <v>1192</v>
      </c>
      <c r="O273" s="330">
        <v>96.662092000000001</v>
      </c>
      <c r="P273" s="330">
        <v>25.920006000000001</v>
      </c>
      <c r="Q273" s="302"/>
      <c r="R273" s="224"/>
      <c r="S273" s="312"/>
      <c r="T273" s="287" t="str">
        <f>IF(CampList[[#This Row],[HH]]&gt;0,CampList[[#This Row],[Total]]/CampList[[#This Row],[HH]],"NA")</f>
        <v>NA</v>
      </c>
      <c r="U273" s="224" t="s">
        <v>465</v>
      </c>
      <c r="V273" s="276" t="s">
        <v>1013</v>
      </c>
      <c r="W273" s="224" t="s">
        <v>508</v>
      </c>
      <c r="X273" s="224" t="s">
        <v>786</v>
      </c>
      <c r="Y273" s="303">
        <v>42584</v>
      </c>
      <c r="Z273" s="302"/>
      <c r="AA273" s="275" t="s">
        <v>776</v>
      </c>
      <c r="AB273" s="290">
        <v>42849</v>
      </c>
      <c r="AC273" s="290"/>
      <c r="AD273" s="304" t="s">
        <v>1265</v>
      </c>
      <c r="AE273" s="305" t="str">
        <f ca="1">IFERROR(OFFSET(DistanceToCamp[Nearest Town],MATCH(CampList[[#This Row],[CP_Pcode]],DistanceToCamp[CP_Pcode],0)-1,0,1,1),"")</f>
        <v>Hpakant Town</v>
      </c>
      <c r="AF273" s="292">
        <f ca="1">IFERROR(OFFSET(DistanceToCamp[distance],MATCH(CampList[[#This Row],[CP_Pcode]],DistanceToCamp[CP_Pcode],0)-1,0,1,1),"")</f>
        <v>0</v>
      </c>
      <c r="AG273" s="306">
        <f ca="1">IFERROR(INT(CampList[[#This Row],[Distance]]/5)+1,"")</f>
        <v>1</v>
      </c>
      <c r="AJ273" s="489">
        <v>150</v>
      </c>
    </row>
    <row r="274" spans="2:47" ht="15.75" hidden="1" customHeight="1" x14ac:dyDescent="0.25">
      <c r="B274" s="283" t="s">
        <v>777</v>
      </c>
      <c r="C274" s="274" t="s">
        <v>378</v>
      </c>
      <c r="D274" s="274" t="s">
        <v>479</v>
      </c>
      <c r="E274" s="274" t="s">
        <v>5</v>
      </c>
      <c r="F274" s="274" t="s">
        <v>483</v>
      </c>
      <c r="G274" s="274" t="s">
        <v>5</v>
      </c>
      <c r="H274" s="274" t="s">
        <v>484</v>
      </c>
      <c r="I274" s="274" t="s">
        <v>586</v>
      </c>
      <c r="J274" s="274" t="s">
        <v>587</v>
      </c>
      <c r="K274" s="274"/>
      <c r="L274" s="274"/>
      <c r="M274" s="274" t="s">
        <v>881</v>
      </c>
      <c r="N274" s="274" t="s">
        <v>878</v>
      </c>
      <c r="O274" s="284">
        <v>97.239130000000003</v>
      </c>
      <c r="P274" s="286">
        <v>24.229189999999999</v>
      </c>
      <c r="Q274" s="302">
        <v>126</v>
      </c>
      <c r="R274" s="224"/>
      <c r="S274" s="312"/>
      <c r="T274" s="287" t="str">
        <f>IF(CampList[[#This Row],[HH]]&gt;0,CampList[[#This Row],[Total]]/CampList[[#This Row],[HH]],"NA")</f>
        <v>NA</v>
      </c>
      <c r="U274" s="276" t="s">
        <v>465</v>
      </c>
      <c r="V274" s="294" t="s">
        <v>1013</v>
      </c>
      <c r="W274" s="276" t="s">
        <v>508</v>
      </c>
      <c r="X274" s="276" t="s">
        <v>743</v>
      </c>
      <c r="Y274" s="303"/>
      <c r="Z274" s="289" t="s">
        <v>462</v>
      </c>
      <c r="AA274" s="274" t="s">
        <v>776</v>
      </c>
      <c r="AB274" s="290">
        <v>41906</v>
      </c>
      <c r="AC274" s="290"/>
      <c r="AD274" s="291" t="s">
        <v>960</v>
      </c>
      <c r="AE274" s="276" t="str">
        <f ca="1">IFERROR(OFFSET(DistanceToCamp[Nearest Town],MATCH(CampList[[#This Row],[CP_Pcode]],DistanceToCamp[CP_Pcode],0)-1,0,1,1),"")</f>
        <v/>
      </c>
      <c r="AF274" s="292" t="str">
        <f ca="1">IFERROR(OFFSET(DistanceToCamp[distance],MATCH(CampList[[#This Row],[CP_Pcode]],DistanceToCamp[CP_Pcode],0)-1,0,1,1),"")</f>
        <v/>
      </c>
      <c r="AG274" s="293" t="str">
        <f ca="1">IFERROR(INT(CampList[[#This Row],[Distance]]/5)+1,"")</f>
        <v/>
      </c>
      <c r="AJ274" s="489">
        <v>11</v>
      </c>
    </row>
    <row r="275" spans="2:47" ht="15.75" hidden="1" customHeight="1" x14ac:dyDescent="0.25">
      <c r="B275" s="283" t="s">
        <v>777</v>
      </c>
      <c r="C275" s="274" t="s">
        <v>378</v>
      </c>
      <c r="D275" s="274" t="s">
        <v>479</v>
      </c>
      <c r="E275" s="274" t="s">
        <v>180</v>
      </c>
      <c r="F275" s="274" t="s">
        <v>480</v>
      </c>
      <c r="G275" s="274" t="s">
        <v>481</v>
      </c>
      <c r="H275" s="274" t="s">
        <v>482</v>
      </c>
      <c r="I275" s="291" t="s">
        <v>544</v>
      </c>
      <c r="J275" s="291" t="s">
        <v>545</v>
      </c>
      <c r="K275" s="291" t="s">
        <v>644</v>
      </c>
      <c r="L275" s="291" t="s">
        <v>645</v>
      </c>
      <c r="M275" s="274" t="s">
        <v>134</v>
      </c>
      <c r="N275" s="274" t="s">
        <v>133</v>
      </c>
      <c r="O275" s="284"/>
      <c r="P275" s="284"/>
      <c r="Q275" s="301"/>
      <c r="R275" s="376"/>
      <c r="S275" s="377"/>
      <c r="T275" s="287" t="str">
        <f>IF(CampList[[#This Row],[HH]]&gt;0,CampList[[#This Row],[Total]]/CampList[[#This Row],[HH]],"NA")</f>
        <v>NA</v>
      </c>
      <c r="U275" s="276" t="s">
        <v>465</v>
      </c>
      <c r="V275" s="294" t="s">
        <v>1013</v>
      </c>
      <c r="W275" s="276" t="s">
        <v>508</v>
      </c>
      <c r="X275" s="294"/>
      <c r="Y275" s="310"/>
      <c r="Z275" s="311"/>
      <c r="AA275" s="308"/>
      <c r="AB275" s="314"/>
      <c r="AC275" s="314"/>
      <c r="AD275" s="283" t="s">
        <v>542</v>
      </c>
      <c r="AE275" s="276" t="str">
        <f ca="1">IFERROR(OFFSET(DistanceToCamp[Nearest Town],MATCH(CampList[[#This Row],[CP_Pcode]],DistanceToCamp[CP_Pcode],0)-1,0,1,1),"")</f>
        <v/>
      </c>
      <c r="AF275" s="292" t="str">
        <f ca="1">IFERROR(OFFSET(DistanceToCamp[distance],MATCH(CampList[[#This Row],[CP_Pcode]],DistanceToCamp[CP_Pcode],0)-1,0,1,1),"")</f>
        <v/>
      </c>
      <c r="AG275" s="293" t="str">
        <f ca="1">IFERROR(INT(CampList[[#This Row],[Distance]]/5)+1,"")</f>
        <v/>
      </c>
    </row>
    <row r="276" spans="2:47" ht="15.75" hidden="1" customHeight="1" x14ac:dyDescent="0.25">
      <c r="B276" s="283" t="s">
        <v>777</v>
      </c>
      <c r="C276" s="274" t="s">
        <v>378</v>
      </c>
      <c r="D276" s="274" t="s">
        <v>479</v>
      </c>
      <c r="E276" s="274" t="s">
        <v>5</v>
      </c>
      <c r="F276" s="274" t="s">
        <v>483</v>
      </c>
      <c r="G276" s="274" t="s">
        <v>5</v>
      </c>
      <c r="H276" s="274" t="s">
        <v>484</v>
      </c>
      <c r="I276" s="291"/>
      <c r="J276" s="291"/>
      <c r="K276" s="291"/>
      <c r="L276" s="291"/>
      <c r="M276" s="274" t="s">
        <v>797</v>
      </c>
      <c r="N276" s="274" t="s">
        <v>785</v>
      </c>
      <c r="O276" s="284"/>
      <c r="P276" s="284"/>
      <c r="Q276" s="297"/>
      <c r="R276" s="376">
        <v>0</v>
      </c>
      <c r="S276" s="377">
        <v>0</v>
      </c>
      <c r="T276" s="287" t="str">
        <f>IF(CampList[[#This Row],[HH]]&gt;0,CampList[[#This Row],[Total]]/CampList[[#This Row],[HH]],"NA")</f>
        <v>NA</v>
      </c>
      <c r="U276" s="276" t="s">
        <v>465</v>
      </c>
      <c r="V276" s="294" t="s">
        <v>1013</v>
      </c>
      <c r="W276" s="276" t="s">
        <v>508</v>
      </c>
      <c r="X276" s="294" t="s">
        <v>743</v>
      </c>
      <c r="Y276" s="295"/>
      <c r="Z276" s="295"/>
      <c r="AA276" s="308" t="s">
        <v>776</v>
      </c>
      <c r="AB276" s="290">
        <v>41701</v>
      </c>
      <c r="AC276" s="290"/>
      <c r="AD276" s="283" t="s">
        <v>877</v>
      </c>
      <c r="AE276" s="276" t="str">
        <f ca="1">IFERROR(OFFSET(DistanceToCamp[Nearest Town],MATCH(CampList[[#This Row],[CP_Pcode]],DistanceToCamp[CP_Pcode],0)-1,0,1,1),"")</f>
        <v/>
      </c>
      <c r="AF276" s="292" t="str">
        <f ca="1">IFERROR(OFFSET(DistanceToCamp[distance],MATCH(CampList[[#This Row],[CP_Pcode]],DistanceToCamp[CP_Pcode],0)-1,0,1,1),"")</f>
        <v/>
      </c>
      <c r="AG276" s="293" t="str">
        <f ca="1">IFERROR(INT(CampList[[#This Row],[Distance]]/5)+1,"")</f>
        <v/>
      </c>
    </row>
    <row r="277" spans="2:47" ht="15.75" hidden="1" customHeight="1" x14ac:dyDescent="0.25">
      <c r="B277" s="283" t="s">
        <v>777</v>
      </c>
      <c r="C277" s="274" t="s">
        <v>378</v>
      </c>
      <c r="D277" s="274" t="s">
        <v>479</v>
      </c>
      <c r="E277" s="274" t="s">
        <v>237</v>
      </c>
      <c r="F277" s="274" t="s">
        <v>485</v>
      </c>
      <c r="G277" s="274" t="s">
        <v>309</v>
      </c>
      <c r="H277" s="274" t="s">
        <v>486</v>
      </c>
      <c r="I277" s="274" t="s">
        <v>636</v>
      </c>
      <c r="J277" s="274" t="s">
        <v>637</v>
      </c>
      <c r="K277" s="274" t="s">
        <v>657</v>
      </c>
      <c r="L277" s="274" t="s">
        <v>658</v>
      </c>
      <c r="M277" s="274" t="s">
        <v>310</v>
      </c>
      <c r="N277" s="274" t="s">
        <v>308</v>
      </c>
      <c r="O277" s="284">
        <v>97.438259000000002</v>
      </c>
      <c r="P277" s="284">
        <v>25.355841999999999</v>
      </c>
      <c r="Q277" s="297">
        <v>0</v>
      </c>
      <c r="R277" s="305"/>
      <c r="S277" s="312"/>
      <c r="T277" s="287" t="str">
        <f>IF(CampList[[#This Row],[HH]]&gt;0,CampList[[#This Row],[Total]]/CampList[[#This Row],[HH]],"NA")</f>
        <v>NA</v>
      </c>
      <c r="U277" s="276" t="s">
        <v>465</v>
      </c>
      <c r="V277" s="276" t="s">
        <v>1013</v>
      </c>
      <c r="W277" s="276" t="s">
        <v>853</v>
      </c>
      <c r="X277" s="276" t="s">
        <v>743</v>
      </c>
      <c r="Y277" s="288">
        <v>40848</v>
      </c>
      <c r="Z277" s="288" t="s">
        <v>424</v>
      </c>
      <c r="AA277" s="274" t="s">
        <v>776</v>
      </c>
      <c r="AB277" s="290">
        <v>42432</v>
      </c>
      <c r="AC277" s="290"/>
      <c r="AD277" s="291" t="s">
        <v>1105</v>
      </c>
      <c r="AE277" s="276" t="str">
        <f ca="1">IFERROR(OFFSET(DistanceToCamp[Nearest Town],MATCH(CampList[[#This Row],[CP_Pcode]],DistanceToCamp[CP_Pcode],0)-1,0,1,1),"")</f>
        <v>Waingmaw Town</v>
      </c>
      <c r="AF277" s="292">
        <f ca="1">IFERROR(OFFSET(DistanceToCamp[distance],MATCH(CampList[[#This Row],[CP_Pcode]],DistanceToCamp[CP_Pcode],0)-1,0,1,1),"")</f>
        <v>0.70725493400809891</v>
      </c>
      <c r="AG277" s="293">
        <f ca="1">IFERROR(INT(CampList[[#This Row],[Distance]]/5)+1,"")</f>
        <v>1</v>
      </c>
    </row>
    <row r="278" spans="2:47" s="277" customFormat="1" ht="15.75" hidden="1" customHeight="1" x14ac:dyDescent="0.25">
      <c r="B278" s="283" t="s">
        <v>777</v>
      </c>
      <c r="C278" s="274" t="s">
        <v>378</v>
      </c>
      <c r="D278" s="274" t="s">
        <v>479</v>
      </c>
      <c r="E278" s="274" t="s">
        <v>180</v>
      </c>
      <c r="F278" s="274" t="s">
        <v>480</v>
      </c>
      <c r="G278" s="274" t="s">
        <v>481</v>
      </c>
      <c r="H278" s="274" t="s">
        <v>482</v>
      </c>
      <c r="I278" s="291" t="s">
        <v>539</v>
      </c>
      <c r="J278" s="291" t="s">
        <v>540</v>
      </c>
      <c r="K278" s="291" t="s">
        <v>539</v>
      </c>
      <c r="L278" s="291">
        <v>166783</v>
      </c>
      <c r="M278" s="274" t="s">
        <v>64</v>
      </c>
      <c r="N278" s="274" t="s">
        <v>63</v>
      </c>
      <c r="O278" s="284">
        <v>96.288250000000005</v>
      </c>
      <c r="P278" s="284">
        <v>25.57921</v>
      </c>
      <c r="Q278" s="297">
        <v>0</v>
      </c>
      <c r="R278" s="376"/>
      <c r="S278" s="377"/>
      <c r="T278" s="287" t="str">
        <f>IF(CampList[[#This Row],[HH]]&gt;0,CampList[[#This Row],[Total]]/CampList[[#This Row],[HH]],"NA")</f>
        <v>NA</v>
      </c>
      <c r="U278" s="276" t="s">
        <v>465</v>
      </c>
      <c r="V278" s="294" t="s">
        <v>1013</v>
      </c>
      <c r="W278" s="276" t="s">
        <v>508</v>
      </c>
      <c r="X278" s="294" t="s">
        <v>786</v>
      </c>
      <c r="Y278" s="295">
        <v>41275</v>
      </c>
      <c r="Z278" s="295" t="s">
        <v>943</v>
      </c>
      <c r="AA278" s="308" t="s">
        <v>775</v>
      </c>
      <c r="AB278" s="290">
        <v>41736</v>
      </c>
      <c r="AC278" s="290"/>
      <c r="AD278" s="291" t="s">
        <v>894</v>
      </c>
      <c r="AE278" s="276" t="str">
        <f ca="1">IFERROR(OFFSET(DistanceToCamp[Nearest Town],MATCH(CampList[[#This Row],[CP_Pcode]],DistanceToCamp[CP_Pcode],0)-1,0,1,1),"")</f>
        <v/>
      </c>
      <c r="AF278" s="292" t="str">
        <f ca="1">IFERROR(OFFSET(DistanceToCamp[distance],MATCH(CampList[[#This Row],[CP_Pcode]],DistanceToCamp[CP_Pcode],0)-1,0,1,1),"")</f>
        <v/>
      </c>
      <c r="AG278" s="293" t="str">
        <f ca="1">IFERROR(INT(CampList[[#This Row],[Distance]]/5)+1,"")</f>
        <v/>
      </c>
      <c r="AH278" s="203"/>
      <c r="AI278" s="489"/>
      <c r="AJ278" s="489"/>
      <c r="AT278" s="278"/>
      <c r="AU278" s="278"/>
    </row>
    <row r="279" spans="2:47" ht="15.75" hidden="1" customHeight="1" x14ac:dyDescent="0.25">
      <c r="B279" s="361" t="s">
        <v>777</v>
      </c>
      <c r="C279" s="274" t="s">
        <v>507</v>
      </c>
      <c r="D279" s="274" t="s">
        <v>490</v>
      </c>
      <c r="E279" s="274" t="s">
        <v>230</v>
      </c>
      <c r="F279" s="274" t="s">
        <v>491</v>
      </c>
      <c r="G279" s="274" t="s">
        <v>230</v>
      </c>
      <c r="H279" s="274" t="s">
        <v>492</v>
      </c>
      <c r="I279" s="362" t="s">
        <v>903</v>
      </c>
      <c r="J279" s="363" t="s">
        <v>904</v>
      </c>
      <c r="K279" s="362" t="s">
        <v>905</v>
      </c>
      <c r="L279" s="362" t="s">
        <v>906</v>
      </c>
      <c r="M279" s="364" t="s">
        <v>1225</v>
      </c>
      <c r="N279" s="275" t="s">
        <v>1213</v>
      </c>
      <c r="O279" s="365"/>
      <c r="P279" s="365"/>
      <c r="Q279" s="366"/>
      <c r="R279" s="222"/>
      <c r="S279" s="375"/>
      <c r="T279" s="367" t="str">
        <f>IF(CampList[[#This Row],[HH]]&gt;0,CampList[[#This Row],[Total]]/CampList[[#This Row],[HH]],"NA")</f>
        <v>NA</v>
      </c>
      <c r="U279" s="224" t="s">
        <v>465</v>
      </c>
      <c r="V279" s="368" t="s">
        <v>1013</v>
      </c>
      <c r="W279" s="222" t="s">
        <v>508</v>
      </c>
      <c r="X279" s="222" t="s">
        <v>743</v>
      </c>
      <c r="Y279" s="369"/>
      <c r="Z279" s="366"/>
      <c r="AA279" s="362" t="s">
        <v>776</v>
      </c>
      <c r="AB279" s="370">
        <v>42831</v>
      </c>
      <c r="AC279" s="370"/>
      <c r="AD279" s="371" t="s">
        <v>1257</v>
      </c>
      <c r="AE279" s="372" t="str">
        <f ca="1">IFERROR(OFFSET(DistanceToCamp[Nearest Town],MATCH(CampList[[#This Row],[CP_Pcode]],DistanceToCamp[CP_Pcode],0)-1,0,1,1),"")</f>
        <v/>
      </c>
      <c r="AF279" s="373" t="str">
        <f ca="1">IFERROR(OFFSET(DistanceToCamp[distance],MATCH(CampList[[#This Row],[CP_Pcode]],DistanceToCamp[CP_Pcode],0)-1,0,1,1),"")</f>
        <v/>
      </c>
      <c r="AG279" s="374" t="str">
        <f ca="1">IFERROR(INT(CampList[[#This Row],[Distance]]/5)+1,"")</f>
        <v/>
      </c>
      <c r="AJ279" s="489">
        <v>304</v>
      </c>
    </row>
    <row r="280" spans="2:47" s="277" customFormat="1" ht="15.75" hidden="1" customHeight="1" x14ac:dyDescent="0.25">
      <c r="B280" s="283" t="s">
        <v>777</v>
      </c>
      <c r="C280" s="274" t="s">
        <v>378</v>
      </c>
      <c r="D280" s="274" t="s">
        <v>479</v>
      </c>
      <c r="E280" s="274" t="s">
        <v>237</v>
      </c>
      <c r="F280" s="274" t="s">
        <v>485</v>
      </c>
      <c r="G280" s="274" t="s">
        <v>27</v>
      </c>
      <c r="H280" s="274" t="s">
        <v>488</v>
      </c>
      <c r="I280" s="274"/>
      <c r="J280" s="274"/>
      <c r="K280" s="274"/>
      <c r="L280" s="274"/>
      <c r="M280" s="274" t="s">
        <v>37</v>
      </c>
      <c r="N280" s="274" t="s">
        <v>36</v>
      </c>
      <c r="O280" s="284"/>
      <c r="P280" s="284"/>
      <c r="Q280" s="301"/>
      <c r="R280" s="376"/>
      <c r="S280" s="377"/>
      <c r="T280" s="287" t="str">
        <f>IF(CampList[[#This Row],[HH]]&gt;0,CampList[[#This Row],[Total]]/CampList[[#This Row],[HH]],"NA")</f>
        <v>NA</v>
      </c>
      <c r="U280" s="276" t="s">
        <v>465</v>
      </c>
      <c r="V280" s="294" t="s">
        <v>1013</v>
      </c>
      <c r="W280" s="276" t="s">
        <v>508</v>
      </c>
      <c r="X280" s="294"/>
      <c r="Y280" s="310"/>
      <c r="Z280" s="311"/>
      <c r="AA280" s="403"/>
      <c r="AB280" s="314"/>
      <c r="AC280" s="314"/>
      <c r="AD280" s="283" t="s">
        <v>542</v>
      </c>
      <c r="AE280" s="276" t="str">
        <f ca="1">IFERROR(OFFSET(DistanceToCamp[Nearest Town],MATCH(CampList[[#This Row],[CP_Pcode]],DistanceToCamp[CP_Pcode],0)-1,0,1,1),"")</f>
        <v/>
      </c>
      <c r="AF280" s="292" t="str">
        <f ca="1">IFERROR(OFFSET(DistanceToCamp[distance],MATCH(CampList[[#This Row],[CP_Pcode]],DistanceToCamp[CP_Pcode],0)-1,0,1,1),"")</f>
        <v/>
      </c>
      <c r="AG280" s="293" t="str">
        <f ca="1">IFERROR(INT(CampList[[#This Row],[Distance]]/5)+1,"")</f>
        <v/>
      </c>
      <c r="AH280" s="203"/>
      <c r="AI280" s="489"/>
      <c r="AJ280" s="489"/>
      <c r="AT280" s="278"/>
      <c r="AU280" s="278"/>
    </row>
    <row r="281" spans="2:47" ht="15.75" hidden="1" customHeight="1" x14ac:dyDescent="0.25">
      <c r="B281" s="283" t="s">
        <v>777</v>
      </c>
      <c r="C281" s="274" t="s">
        <v>378</v>
      </c>
      <c r="D281" s="274" t="s">
        <v>479</v>
      </c>
      <c r="E281" s="274" t="s">
        <v>180</v>
      </c>
      <c r="F281" s="274" t="s">
        <v>480</v>
      </c>
      <c r="G281" s="274" t="s">
        <v>481</v>
      </c>
      <c r="H281" s="274" t="s">
        <v>482</v>
      </c>
      <c r="I281" s="291" t="s">
        <v>544</v>
      </c>
      <c r="J281" s="291" t="s">
        <v>545</v>
      </c>
      <c r="K281" s="291" t="s">
        <v>642</v>
      </c>
      <c r="L281" s="291" t="s">
        <v>643</v>
      </c>
      <c r="M281" s="274" t="s">
        <v>74</v>
      </c>
      <c r="N281" s="274" t="s">
        <v>73</v>
      </c>
      <c r="O281" s="284"/>
      <c r="P281" s="284"/>
      <c r="Q281" s="301"/>
      <c r="R281" s="376"/>
      <c r="S281" s="377"/>
      <c r="T281" s="287" t="str">
        <f>IF(CampList[[#This Row],[HH]]&gt;0,CampList[[#This Row],[Total]]/CampList[[#This Row],[HH]],"NA")</f>
        <v>NA</v>
      </c>
      <c r="U281" s="276" t="s">
        <v>465</v>
      </c>
      <c r="V281" s="294" t="s">
        <v>1013</v>
      </c>
      <c r="W281" s="276" t="s">
        <v>508</v>
      </c>
      <c r="X281" s="294"/>
      <c r="Y281" s="310"/>
      <c r="Z281" s="311"/>
      <c r="AA281" s="308"/>
      <c r="AB281" s="314"/>
      <c r="AC281" s="314"/>
      <c r="AD281" s="283" t="s">
        <v>542</v>
      </c>
      <c r="AE281" s="276" t="str">
        <f ca="1">IFERROR(OFFSET(DistanceToCamp[Nearest Town],MATCH(CampList[[#This Row],[CP_Pcode]],DistanceToCamp[CP_Pcode],0)-1,0,1,1),"")</f>
        <v/>
      </c>
      <c r="AF281" s="292" t="str">
        <f ca="1">IFERROR(OFFSET(DistanceToCamp[distance],MATCH(CampList[[#This Row],[CP_Pcode]],DistanceToCamp[CP_Pcode],0)-1,0,1,1),"")</f>
        <v/>
      </c>
      <c r="AG281" s="293" t="str">
        <f ca="1">IFERROR(INT(CampList[[#This Row],[Distance]]/5)+1,"")</f>
        <v/>
      </c>
    </row>
    <row r="282" spans="2:47" s="277" customFormat="1" ht="15.75" hidden="1" customHeight="1" x14ac:dyDescent="0.25">
      <c r="B282" s="308" t="s">
        <v>777</v>
      </c>
      <c r="C282" s="274" t="s">
        <v>378</v>
      </c>
      <c r="D282" s="274" t="s">
        <v>479</v>
      </c>
      <c r="E282" s="274" t="s">
        <v>237</v>
      </c>
      <c r="F282" s="274" t="s">
        <v>485</v>
      </c>
      <c r="G282" s="274" t="s">
        <v>309</v>
      </c>
      <c r="H282" s="274" t="s">
        <v>486</v>
      </c>
      <c r="I282" s="274" t="s">
        <v>705</v>
      </c>
      <c r="J282" s="274" t="s">
        <v>706</v>
      </c>
      <c r="K282" s="296" t="s">
        <v>1147</v>
      </c>
      <c r="L282" s="296">
        <v>220360</v>
      </c>
      <c r="M282" s="274" t="s">
        <v>1050</v>
      </c>
      <c r="N282" s="274" t="s">
        <v>354</v>
      </c>
      <c r="O282" s="284">
        <v>97.756789999999995</v>
      </c>
      <c r="P282" s="284">
        <v>25.106670000000001</v>
      </c>
      <c r="Q282" s="285">
        <v>756</v>
      </c>
      <c r="R282" s="414"/>
      <c r="S282" s="414"/>
      <c r="T282" s="287" t="str">
        <f>IF(CampList[[#This Row],[HH]]&gt;0,CampList[[#This Row],[Total]]/CampList[[#This Row],[HH]],"NA")</f>
        <v>NA</v>
      </c>
      <c r="U282" s="276" t="s">
        <v>467</v>
      </c>
      <c r="V282" s="276" t="s">
        <v>1013</v>
      </c>
      <c r="W282" s="276" t="s">
        <v>508</v>
      </c>
      <c r="X282" s="276" t="s">
        <v>786</v>
      </c>
      <c r="Y282" s="288">
        <v>40848</v>
      </c>
      <c r="Z282" s="288" t="s">
        <v>424</v>
      </c>
      <c r="AA282" s="274" t="s">
        <v>776</v>
      </c>
      <c r="AB282" s="290">
        <v>42888</v>
      </c>
      <c r="AC282" s="290"/>
      <c r="AD282" s="291" t="s">
        <v>1300</v>
      </c>
      <c r="AE282" s="276" t="str">
        <f ca="1">IFERROR(OFFSET(DistanceToCamp[Nearest Town],MATCH(CampList[[#This Row],[CP_Pcode]],DistanceToCamp[CP_Pcode],0)-1,0,1,1),"")</f>
        <v>Sadung Town</v>
      </c>
      <c r="AF282" s="292">
        <f ca="1">IFERROR(OFFSET(DistanceToCamp[distance],MATCH(CampList[[#This Row],[CP_Pcode]],DistanceToCamp[CP_Pcode],0)-1,0,1,1),"")</f>
        <v>32.827754639406997</v>
      </c>
      <c r="AG282" s="293">
        <f ca="1">IFERROR(INT(CampList[[#This Row],[Distance]]/5)+1,"")</f>
        <v>7</v>
      </c>
      <c r="AH282" s="203"/>
      <c r="AI282" s="489"/>
      <c r="AJ282" s="489"/>
      <c r="AT282" s="278"/>
      <c r="AU282" s="278"/>
    </row>
    <row r="283" spans="2:47" s="277" customFormat="1" ht="15.75" hidden="1" customHeight="1" x14ac:dyDescent="0.25">
      <c r="B283" s="283" t="s">
        <v>777</v>
      </c>
      <c r="C283" s="274" t="s">
        <v>378</v>
      </c>
      <c r="D283" s="274" t="s">
        <v>479</v>
      </c>
      <c r="E283" s="274" t="s">
        <v>180</v>
      </c>
      <c r="F283" s="274" t="s">
        <v>480</v>
      </c>
      <c r="G283" s="274" t="s">
        <v>481</v>
      </c>
      <c r="H283" s="274" t="s">
        <v>482</v>
      </c>
      <c r="I283" s="291" t="s">
        <v>544</v>
      </c>
      <c r="J283" s="291" t="s">
        <v>545</v>
      </c>
      <c r="K283" s="291" t="s">
        <v>548</v>
      </c>
      <c r="L283" s="291" t="s">
        <v>549</v>
      </c>
      <c r="M283" s="274" t="s">
        <v>468</v>
      </c>
      <c r="N283" s="274" t="s">
        <v>469</v>
      </c>
      <c r="O283" s="284">
        <v>96.315601999999998</v>
      </c>
      <c r="P283" s="284">
        <v>25.615006000000001</v>
      </c>
      <c r="Q283" s="301"/>
      <c r="R283" s="376">
        <v>0</v>
      </c>
      <c r="S283" s="377">
        <v>0</v>
      </c>
      <c r="T283" s="287" t="str">
        <f>IF(CampList[[#This Row],[HH]]&gt;0,CampList[[#This Row],[Total]]/CampList[[#This Row],[HH]],"NA")</f>
        <v>NA</v>
      </c>
      <c r="U283" s="276" t="s">
        <v>465</v>
      </c>
      <c r="V283" s="294" t="s">
        <v>1013</v>
      </c>
      <c r="W283" s="276" t="s">
        <v>508</v>
      </c>
      <c r="X283" s="294"/>
      <c r="Y283" s="310"/>
      <c r="Z283" s="311"/>
      <c r="AA283" s="308"/>
      <c r="AB283" s="314"/>
      <c r="AC283" s="314"/>
      <c r="AD283" s="283" t="s">
        <v>542</v>
      </c>
      <c r="AE283" s="276" t="str">
        <f ca="1">IFERROR(OFFSET(DistanceToCamp[Nearest Town],MATCH(CampList[[#This Row],[CP_Pcode]],DistanceToCamp[CP_Pcode],0)-1,0,1,1),"")</f>
        <v/>
      </c>
      <c r="AF283" s="292" t="str">
        <f ca="1">IFERROR(OFFSET(DistanceToCamp[distance],MATCH(CampList[[#This Row],[CP_Pcode]],DistanceToCamp[CP_Pcode],0)-1,0,1,1),"")</f>
        <v/>
      </c>
      <c r="AG283" s="293" t="str">
        <f ca="1">IFERROR(INT(CampList[[#This Row],[Distance]]/5)+1,"")</f>
        <v/>
      </c>
      <c r="AH283" s="203"/>
      <c r="AI283" s="489"/>
      <c r="AJ283" s="489"/>
      <c r="AT283" s="278"/>
      <c r="AU283" s="278"/>
    </row>
    <row r="284" spans="2:47" s="277" customFormat="1" ht="15.6" hidden="1" customHeight="1" x14ac:dyDescent="0.25">
      <c r="B284" s="361" t="s">
        <v>777</v>
      </c>
      <c r="C284" s="274" t="s">
        <v>507</v>
      </c>
      <c r="D284" s="274" t="s">
        <v>490</v>
      </c>
      <c r="E284" s="274" t="s">
        <v>230</v>
      </c>
      <c r="F284" s="274" t="s">
        <v>491</v>
      </c>
      <c r="G284" s="274" t="s">
        <v>230</v>
      </c>
      <c r="H284" s="274" t="s">
        <v>492</v>
      </c>
      <c r="I284" s="362"/>
      <c r="J284" s="363"/>
      <c r="K284" s="362"/>
      <c r="L284" s="362"/>
      <c r="M284" s="364" t="s">
        <v>1226</v>
      </c>
      <c r="N284" s="275" t="s">
        <v>1214</v>
      </c>
      <c r="O284" s="365"/>
      <c r="P284" s="365"/>
      <c r="Q284" s="366"/>
      <c r="R284" s="222"/>
      <c r="S284" s="378"/>
      <c r="T284" s="367" t="str">
        <f>IF(CampList[[#This Row],[HH]]&gt;0,CampList[[#This Row],[Total]]/CampList[[#This Row],[HH]],"NA")</f>
        <v>NA</v>
      </c>
      <c r="U284" s="224" t="s">
        <v>465</v>
      </c>
      <c r="V284" s="368" t="s">
        <v>1013</v>
      </c>
      <c r="W284" s="222" t="s">
        <v>508</v>
      </c>
      <c r="X284" s="222"/>
      <c r="Y284" s="369"/>
      <c r="Z284" s="366"/>
      <c r="AA284" s="362" t="s">
        <v>776</v>
      </c>
      <c r="AB284" s="370">
        <v>42831</v>
      </c>
      <c r="AC284" s="370"/>
      <c r="AD284" s="371" t="s">
        <v>1257</v>
      </c>
      <c r="AE284" s="372" t="str">
        <f ca="1">IFERROR(OFFSET(DistanceToCamp[Nearest Town],MATCH(CampList[[#This Row],[CP_Pcode]],DistanceToCamp[CP_Pcode],0)-1,0,1,1),"")</f>
        <v/>
      </c>
      <c r="AF284" s="373" t="str">
        <f ca="1">IFERROR(OFFSET(DistanceToCamp[distance],MATCH(CampList[[#This Row],[CP_Pcode]],DistanceToCamp[CP_Pcode],0)-1,0,1,1),"")</f>
        <v/>
      </c>
      <c r="AG284" s="374" t="str">
        <f ca="1">IFERROR(INT(CampList[[#This Row],[Distance]]/5)+1,"")</f>
        <v/>
      </c>
      <c r="AH284" s="203"/>
      <c r="AI284" s="489"/>
      <c r="AJ284" s="489"/>
      <c r="AT284" s="278"/>
      <c r="AU284" s="278"/>
    </row>
    <row r="285" spans="2:47" s="277" customFormat="1" ht="15.6" customHeight="1" x14ac:dyDescent="0.25">
      <c r="B285" s="361" t="s">
        <v>460</v>
      </c>
      <c r="C285" s="274" t="s">
        <v>507</v>
      </c>
      <c r="D285" s="274" t="s">
        <v>490</v>
      </c>
      <c r="E285" s="274" t="s">
        <v>495</v>
      </c>
      <c r="F285" s="274" t="s">
        <v>496</v>
      </c>
      <c r="G285" s="274" t="s">
        <v>1230</v>
      </c>
      <c r="H285" s="274" t="s">
        <v>1231</v>
      </c>
      <c r="I285" s="362" t="s">
        <v>1246</v>
      </c>
      <c r="J285" s="363" t="s">
        <v>1247</v>
      </c>
      <c r="K285" s="362" t="s">
        <v>1245</v>
      </c>
      <c r="L285" s="362">
        <v>209986</v>
      </c>
      <c r="M285" s="364" t="s">
        <v>1227</v>
      </c>
      <c r="N285" s="275" t="s">
        <v>1215</v>
      </c>
      <c r="O285" s="365">
        <v>97.314762999999999</v>
      </c>
      <c r="P285" s="365">
        <v>22.677008000000001</v>
      </c>
      <c r="Q285" s="366"/>
      <c r="R285" s="365">
        <v>37</v>
      </c>
      <c r="S285" s="419">
        <v>120</v>
      </c>
      <c r="T285" s="367">
        <f>IF(CampList[[#This Row],[HH]]&gt;0,CampList[[#This Row],[Total]]/CampList[[#This Row],[HH]],"NA")</f>
        <v>3.2432432432432434</v>
      </c>
      <c r="U285" s="224" t="s">
        <v>465</v>
      </c>
      <c r="V285" s="368" t="s">
        <v>1013</v>
      </c>
      <c r="W285" s="276" t="s">
        <v>1574</v>
      </c>
      <c r="X285" s="222" t="s">
        <v>786</v>
      </c>
      <c r="Y285" s="369"/>
      <c r="Z285" s="366"/>
      <c r="AA285" s="362" t="s">
        <v>776</v>
      </c>
      <c r="AB285" s="370">
        <v>42752</v>
      </c>
      <c r="AC285" s="370"/>
      <c r="AD285" s="371" t="s">
        <v>1217</v>
      </c>
      <c r="AE285" s="372" t="str">
        <f ca="1">IFERROR(OFFSET(DistanceToCamp[Nearest Town],MATCH(CampList[[#This Row],[CP_Pcode]],DistanceToCamp[CP_Pcode],0)-1,0,1,1),"")</f>
        <v/>
      </c>
      <c r="AF285" s="373" t="str">
        <f ca="1">IFERROR(OFFSET(DistanceToCamp[distance],MATCH(CampList[[#This Row],[CP_Pcode]],DistanceToCamp[CP_Pcode],0)-1,0,1,1),"")</f>
        <v/>
      </c>
      <c r="AG285" s="374" t="str">
        <f ca="1">IFERROR(INT(CampList[[#This Row],[Distance]]/5)+1,"")</f>
        <v/>
      </c>
      <c r="AH285" s="203"/>
      <c r="AI285" s="489"/>
      <c r="AJ285" s="489"/>
      <c r="AT285" s="278"/>
      <c r="AU285" s="278"/>
    </row>
    <row r="286" spans="2:47" s="277" customFormat="1" ht="15.6" customHeight="1" x14ac:dyDescent="0.25">
      <c r="B286" s="299" t="s">
        <v>460</v>
      </c>
      <c r="C286" s="274" t="s">
        <v>507</v>
      </c>
      <c r="D286" s="274" t="s">
        <v>490</v>
      </c>
      <c r="E286" s="274" t="s">
        <v>230</v>
      </c>
      <c r="F286" s="274" t="s">
        <v>491</v>
      </c>
      <c r="G286" s="274" t="s">
        <v>146</v>
      </c>
      <c r="H286" s="274" t="s">
        <v>498</v>
      </c>
      <c r="I286" s="275" t="s">
        <v>670</v>
      </c>
      <c r="J286" s="300" t="s">
        <v>671</v>
      </c>
      <c r="K286" s="275" t="s">
        <v>1261</v>
      </c>
      <c r="L286" s="275" t="s">
        <v>1260</v>
      </c>
      <c r="M286" s="381" t="s">
        <v>1263</v>
      </c>
      <c r="N286" s="275" t="s">
        <v>1262</v>
      </c>
      <c r="O286" s="286">
        <v>97.947360000000003</v>
      </c>
      <c r="P286" s="286">
        <v>23.460349999999998</v>
      </c>
      <c r="Q286" s="302"/>
      <c r="R286" s="286">
        <v>36</v>
      </c>
      <c r="S286" s="286">
        <v>146</v>
      </c>
      <c r="T286" s="287">
        <f>IF(CampList[[#This Row],[HH]]&gt;0,CampList[[#This Row],[Total]]/CampList[[#This Row],[HH]],"NA")</f>
        <v>4.0555555555555554</v>
      </c>
      <c r="U286" s="276" t="s">
        <v>465</v>
      </c>
      <c r="V286" s="276" t="s">
        <v>1013</v>
      </c>
      <c r="W286" s="276" t="s">
        <v>1574</v>
      </c>
      <c r="X286" s="276" t="s">
        <v>743</v>
      </c>
      <c r="Y286" s="303">
        <v>42724</v>
      </c>
      <c r="Z286" s="302" t="s">
        <v>424</v>
      </c>
      <c r="AA286" s="275" t="s">
        <v>776</v>
      </c>
      <c r="AB286" s="290">
        <v>43008</v>
      </c>
      <c r="AC286" s="290"/>
      <c r="AD286" s="304" t="s">
        <v>1721</v>
      </c>
      <c r="AE286" s="305" t="str">
        <f ca="1">IFERROR(OFFSET(DistanceToCamp[Nearest Town],MATCH(CampList[[#This Row],[CP_Pcode]],DistanceToCamp[CP_Pcode],0)-1,0,1,1),"")</f>
        <v/>
      </c>
      <c r="AF286" s="292" t="str">
        <f ca="1">IFERROR(OFFSET(DistanceToCamp[distance],MATCH(CampList[[#This Row],[CP_Pcode]],DistanceToCamp[CP_Pcode],0)-1,0,1,1),"")</f>
        <v/>
      </c>
      <c r="AG286" s="306" t="str">
        <f ca="1">IFERROR(INT(CampList[[#This Row],[Distance]]/5)+1,"")</f>
        <v/>
      </c>
      <c r="AH286" s="203"/>
      <c r="AI286" s="489"/>
      <c r="AJ286" s="489"/>
      <c r="AT286" s="278"/>
      <c r="AU286" s="278"/>
    </row>
    <row r="287" spans="2:47" s="277" customFormat="1" ht="15.6" customHeight="1" x14ac:dyDescent="0.25">
      <c r="B287" s="299" t="s">
        <v>460</v>
      </c>
      <c r="C287" s="274" t="s">
        <v>507</v>
      </c>
      <c r="D287" s="274" t="s">
        <v>490</v>
      </c>
      <c r="E287" s="274" t="s">
        <v>230</v>
      </c>
      <c r="F287" s="274" t="s">
        <v>491</v>
      </c>
      <c r="G287" s="274" t="s">
        <v>146</v>
      </c>
      <c r="H287" s="274" t="s">
        <v>498</v>
      </c>
      <c r="I287" s="362" t="s">
        <v>1275</v>
      </c>
      <c r="J287" s="363" t="s">
        <v>1276</v>
      </c>
      <c r="K287" s="362" t="s">
        <v>1273</v>
      </c>
      <c r="L287" s="362">
        <v>208530</v>
      </c>
      <c r="M287" s="362" t="s">
        <v>1273</v>
      </c>
      <c r="N287" s="411" t="s">
        <v>1274</v>
      </c>
      <c r="O287" s="365"/>
      <c r="P287" s="365"/>
      <c r="Q287" s="366"/>
      <c r="R287" s="365">
        <v>24</v>
      </c>
      <c r="S287" s="366">
        <v>84</v>
      </c>
      <c r="T287" s="412">
        <f>IF(CampList[[#This Row],[HH]]&gt;0,CampList[[#This Row],[Total]]/CampList[[#This Row],[HH]],"NA")</f>
        <v>3.5</v>
      </c>
      <c r="U287" s="413" t="s">
        <v>465</v>
      </c>
      <c r="V287" s="413" t="s">
        <v>1013</v>
      </c>
      <c r="W287" s="276" t="s">
        <v>1574</v>
      </c>
      <c r="X287" s="222" t="s">
        <v>786</v>
      </c>
      <c r="Y287" s="369"/>
      <c r="Z287" s="366"/>
      <c r="AA287" s="362" t="s">
        <v>776</v>
      </c>
      <c r="AB287" s="370">
        <v>42861</v>
      </c>
      <c r="AC287" s="370"/>
      <c r="AD287" s="392" t="s">
        <v>1277</v>
      </c>
      <c r="AE287" s="372" t="str">
        <f ca="1">IFERROR(OFFSET(DistanceToCamp[Nearest Town],MATCH(CampList[[#This Row],[CP_Pcode]],DistanceToCamp[CP_Pcode],0)-1,0,1,1),"")</f>
        <v/>
      </c>
      <c r="AF287" s="373" t="str">
        <f ca="1">IFERROR(OFFSET(DistanceToCamp[distance],MATCH(CampList[[#This Row],[CP_Pcode]],DistanceToCamp[CP_Pcode],0)-1,0,1,1),"")</f>
        <v/>
      </c>
      <c r="AG287" s="374" t="str">
        <f ca="1">IFERROR(INT(CampList[[#This Row],[Distance]]/5)+1,"")</f>
        <v/>
      </c>
      <c r="AH287" s="203"/>
      <c r="AI287" s="489"/>
      <c r="AJ287" s="489"/>
      <c r="AT287" s="278"/>
      <c r="AU287" s="278"/>
    </row>
    <row r="288" spans="2:47" s="277" customFormat="1" ht="15.6" customHeight="1" x14ac:dyDescent="0.25">
      <c r="B288" s="361" t="s">
        <v>460</v>
      </c>
      <c r="C288" s="274" t="s">
        <v>507</v>
      </c>
      <c r="D288" s="274" t="s">
        <v>490</v>
      </c>
      <c r="E288" s="274" t="s">
        <v>230</v>
      </c>
      <c r="F288" s="274" t="s">
        <v>491</v>
      </c>
      <c r="G288" s="274" t="s">
        <v>230</v>
      </c>
      <c r="H288" s="274" t="s">
        <v>492</v>
      </c>
      <c r="I288" s="274" t="s">
        <v>715</v>
      </c>
      <c r="J288" s="363" t="s">
        <v>716</v>
      </c>
      <c r="K288" s="362" t="s">
        <v>717</v>
      </c>
      <c r="L288" s="362">
        <v>208156</v>
      </c>
      <c r="M288" s="362" t="s">
        <v>717</v>
      </c>
      <c r="N288" s="275" t="s">
        <v>1278</v>
      </c>
      <c r="O288" s="284">
        <v>98.115809999999996</v>
      </c>
      <c r="P288" s="284">
        <v>24.08738</v>
      </c>
      <c r="Q288" s="366"/>
      <c r="R288" s="824">
        <v>154</v>
      </c>
      <c r="S288" s="825">
        <v>778</v>
      </c>
      <c r="T288" s="287">
        <f>IF(CampList[[#This Row],[HH]]&gt;0,CampList[[#This Row],[Total]]/CampList[[#This Row],[HH]],"NA")</f>
        <v>5.0519480519480515</v>
      </c>
      <c r="U288" s="276" t="s">
        <v>465</v>
      </c>
      <c r="V288" s="276" t="s">
        <v>1013</v>
      </c>
      <c r="W288" s="276" t="s">
        <v>1574</v>
      </c>
      <c r="X288" s="222" t="s">
        <v>786</v>
      </c>
      <c r="Y288" s="369"/>
      <c r="Z288" s="366" t="s">
        <v>424</v>
      </c>
      <c r="AA288" s="362" t="s">
        <v>776</v>
      </c>
      <c r="AB288" s="290">
        <v>43008</v>
      </c>
      <c r="AC288" s="290"/>
      <c r="AD288" s="392" t="s">
        <v>1721</v>
      </c>
      <c r="AE288" s="372" t="str">
        <f ca="1">IFERROR(OFFSET(DistanceToCamp[Nearest Town],MATCH(CampList[[#This Row],[CP_Pcode]],DistanceToCamp[CP_Pcode],0)-1,0,1,1),"")</f>
        <v/>
      </c>
      <c r="AF288" s="373" t="str">
        <f ca="1">IFERROR(OFFSET(DistanceToCamp[distance],MATCH(CampList[[#This Row],[CP_Pcode]],DistanceToCamp[CP_Pcode],0)-1,0,1,1),"")</f>
        <v/>
      </c>
      <c r="AG288" s="374" t="str">
        <f ca="1">IFERROR(INT(CampList[[#This Row],[Distance]]/5)+1,"")</f>
        <v/>
      </c>
      <c r="AH288" s="203"/>
      <c r="AI288" s="489"/>
      <c r="AJ288" s="489"/>
      <c r="AT288" s="278"/>
      <c r="AU288" s="278"/>
    </row>
    <row r="289" spans="2:47" s="277" customFormat="1" ht="15.6" customHeight="1" x14ac:dyDescent="0.25">
      <c r="B289" s="361" t="s">
        <v>460</v>
      </c>
      <c r="C289" s="274" t="s">
        <v>507</v>
      </c>
      <c r="D289" s="274"/>
      <c r="E289" s="274" t="s">
        <v>230</v>
      </c>
      <c r="F289" s="274"/>
      <c r="G289" s="274" t="s">
        <v>146</v>
      </c>
      <c r="H289" s="274"/>
      <c r="I289" s="274" t="s">
        <v>1755</v>
      </c>
      <c r="J289" s="363"/>
      <c r="K289" s="362" t="s">
        <v>1755</v>
      </c>
      <c r="L289" s="362"/>
      <c r="M289" s="362" t="s">
        <v>1755</v>
      </c>
      <c r="N289" s="275"/>
      <c r="O289" s="284"/>
      <c r="P289" s="284"/>
      <c r="Q289" s="366"/>
      <c r="R289" s="222">
        <v>37</v>
      </c>
      <c r="S289" s="388">
        <v>198</v>
      </c>
      <c r="T289" s="287">
        <f>IF(CampList[[#This Row],[HH]]&gt;0,CampList[[#This Row],[Total]]/CampList[[#This Row],[HH]],"NA")</f>
        <v>5.3513513513513518</v>
      </c>
      <c r="U289" s="276" t="s">
        <v>465</v>
      </c>
      <c r="V289" s="276" t="s">
        <v>1013</v>
      </c>
      <c r="W289" s="276" t="s">
        <v>1574</v>
      </c>
      <c r="X289" s="222" t="s">
        <v>786</v>
      </c>
      <c r="Y289" s="369">
        <v>42370</v>
      </c>
      <c r="Z289" s="366"/>
      <c r="AA289" s="362" t="s">
        <v>776</v>
      </c>
      <c r="AB289" s="290">
        <v>43008</v>
      </c>
      <c r="AC289" s="290"/>
      <c r="AD289" s="392"/>
      <c r="AE289" s="372" t="str">
        <f ca="1">IFERROR(OFFSET(DistanceToCamp[Nearest Town],MATCH(CampList[[#This Row],[CP_Pcode]],DistanceToCamp[CP_Pcode],0)-1,0,1,1),"")</f>
        <v/>
      </c>
      <c r="AF289" s="373" t="str">
        <f ca="1">IFERROR(OFFSET(DistanceToCamp[distance],MATCH(CampList[[#This Row],[CP_Pcode]],DistanceToCamp[CP_Pcode],0)-1,0,1,1),"")</f>
        <v/>
      </c>
      <c r="AG289" s="374" t="str">
        <f ca="1">IFERROR(INT(CampList[[#This Row],[Distance]]/5)+1,"")</f>
        <v/>
      </c>
      <c r="AH289" s="203"/>
      <c r="AI289" s="489"/>
      <c r="AJ289" s="489"/>
      <c r="AT289" s="278"/>
      <c r="AU289" s="278"/>
    </row>
    <row r="290" spans="2:47" s="277" customFormat="1" ht="17.45" customHeight="1" x14ac:dyDescent="0.25">
      <c r="B290" s="361" t="s">
        <v>460</v>
      </c>
      <c r="C290" s="274" t="s">
        <v>507</v>
      </c>
      <c r="D290" s="274" t="s">
        <v>490</v>
      </c>
      <c r="E290" s="274" t="s">
        <v>495</v>
      </c>
      <c r="F290" s="274" t="s">
        <v>496</v>
      </c>
      <c r="G290" s="274" t="s">
        <v>297</v>
      </c>
      <c r="H290" s="274" t="s">
        <v>504</v>
      </c>
      <c r="I290" s="362" t="s">
        <v>757</v>
      </c>
      <c r="J290" s="363" t="s">
        <v>758</v>
      </c>
      <c r="K290" s="362" t="s">
        <v>759</v>
      </c>
      <c r="L290" s="362" t="s">
        <v>760</v>
      </c>
      <c r="M290" s="362" t="s">
        <v>1425</v>
      </c>
      <c r="N290" s="275" t="s">
        <v>1424</v>
      </c>
      <c r="O290" s="365">
        <v>97.400671000000003</v>
      </c>
      <c r="P290" s="365">
        <v>23.099304</v>
      </c>
      <c r="Q290" s="366"/>
      <c r="R290" s="827">
        <v>59</v>
      </c>
      <c r="S290" s="827">
        <v>250</v>
      </c>
      <c r="T290" s="367">
        <f>IF(CampList[[#This Row],[HH]]&gt;0,CampList[[#This Row],[Total]]/CampList[[#This Row],[HH]],"NA")</f>
        <v>4.2372881355932206</v>
      </c>
      <c r="U290" s="224" t="s">
        <v>465</v>
      </c>
      <c r="V290" s="368" t="s">
        <v>1013</v>
      </c>
      <c r="W290" s="276" t="s">
        <v>1574</v>
      </c>
      <c r="X290" s="222" t="s">
        <v>743</v>
      </c>
      <c r="Y290" s="369">
        <v>42781</v>
      </c>
      <c r="Z290" s="302" t="s">
        <v>1066</v>
      </c>
      <c r="AA290" s="362" t="s">
        <v>776</v>
      </c>
      <c r="AB290" s="290">
        <v>43008</v>
      </c>
      <c r="AC290" s="370"/>
      <c r="AD290" s="371" t="s">
        <v>1721</v>
      </c>
      <c r="AE290" s="372" t="str">
        <f ca="1">IFERROR(OFFSET(DistanceToCamp[Nearest Town],MATCH(CampList[[#This Row],[CP_Pcode]],DistanceToCamp[CP_Pcode],0)-1,0,1,1),"")</f>
        <v/>
      </c>
      <c r="AF290" s="373" t="str">
        <f ca="1">IFERROR(OFFSET(DistanceToCamp[distance],MATCH(CampList[[#This Row],[CP_Pcode]],DistanceToCamp[CP_Pcode],0)-1,0,1,1),"")</f>
        <v/>
      </c>
      <c r="AG290" s="374" t="str">
        <f ca="1">IFERROR(INT(CampList[[#This Row],[Distance]]/5)+1,"")</f>
        <v/>
      </c>
      <c r="AH290" s="203"/>
      <c r="AI290" s="489"/>
      <c r="AJ290" s="489"/>
      <c r="AT290" s="278"/>
      <c r="AU290" s="278"/>
    </row>
    <row r="291" spans="2:47" s="277" customFormat="1" ht="15.6" customHeight="1" x14ac:dyDescent="0.25">
      <c r="B291" s="480"/>
      <c r="C291" s="480"/>
      <c r="D291" s="244"/>
      <c r="E291" s="244"/>
      <c r="F291" s="244"/>
      <c r="G291" s="244"/>
      <c r="H291" s="244"/>
      <c r="I291" s="244"/>
      <c r="J291" s="244"/>
      <c r="K291" s="244"/>
      <c r="L291" s="244"/>
      <c r="M291" s="244"/>
      <c r="N291" s="244"/>
      <c r="O291" s="481"/>
      <c r="P291" s="481"/>
      <c r="Q291" s="481"/>
      <c r="R291" s="379"/>
      <c r="S291" s="380"/>
      <c r="T291" s="482"/>
      <c r="U291" s="379"/>
      <c r="V291" s="483"/>
      <c r="W291" s="379"/>
      <c r="X291" s="379"/>
      <c r="Y291" s="484"/>
      <c r="Z291" s="485"/>
      <c r="AA291" s="244"/>
      <c r="AB291" s="481"/>
      <c r="AC291" s="481"/>
      <c r="AD291" s="486"/>
      <c r="AE291" s="379"/>
      <c r="AF291" s="487"/>
      <c r="AG291" s="481"/>
      <c r="AH291" s="203"/>
      <c r="AI291" s="489"/>
      <c r="AJ291" s="489"/>
      <c r="AT291" s="278"/>
      <c r="AU291" s="278"/>
    </row>
    <row r="292" spans="2:47" s="277" customFormat="1" ht="15.6" customHeight="1" x14ac:dyDescent="0.25">
      <c r="B292" s="480"/>
      <c r="C292" s="480"/>
      <c r="D292" s="244"/>
      <c r="E292" s="244"/>
      <c r="F292" s="244"/>
      <c r="G292" s="244"/>
      <c r="H292" s="244"/>
      <c r="I292" s="244"/>
      <c r="J292" s="244"/>
      <c r="K292" s="244"/>
      <c r="L292" s="244"/>
      <c r="M292" s="244"/>
      <c r="N292" s="244"/>
      <c r="O292" s="481"/>
      <c r="P292" s="481"/>
      <c r="Q292" s="481"/>
      <c r="R292" s="379"/>
      <c r="S292" s="380"/>
      <c r="T292" s="482"/>
      <c r="U292" s="379"/>
      <c r="V292" s="483"/>
      <c r="W292" s="379"/>
      <c r="X292" s="379"/>
      <c r="Y292" s="484"/>
      <c r="Z292" s="485"/>
      <c r="AA292" s="244"/>
      <c r="AB292" s="481"/>
      <c r="AC292" s="481"/>
      <c r="AD292" s="486"/>
      <c r="AE292" s="379"/>
      <c r="AF292" s="487"/>
      <c r="AG292" s="481"/>
      <c r="AH292" s="203"/>
      <c r="AI292" s="489"/>
      <c r="AJ292" s="489"/>
      <c r="AT292" s="278"/>
      <c r="AU292" s="278"/>
    </row>
    <row r="293" spans="2:47" s="277" customFormat="1" ht="15.6" customHeight="1" x14ac:dyDescent="0.25">
      <c r="B293" s="480"/>
      <c r="C293" s="480"/>
      <c r="D293" s="244"/>
      <c r="E293" s="244"/>
      <c r="F293" s="244"/>
      <c r="G293" s="244"/>
      <c r="H293" s="244"/>
      <c r="I293" s="244"/>
      <c r="J293" s="244"/>
      <c r="K293" s="244"/>
      <c r="L293" s="244"/>
      <c r="M293" s="244"/>
      <c r="N293" s="244"/>
      <c r="O293" s="481"/>
      <c r="P293" s="481"/>
      <c r="Q293" s="481"/>
      <c r="R293" s="379"/>
      <c r="S293" s="380"/>
      <c r="T293" s="482"/>
      <c r="U293" s="379"/>
      <c r="V293" s="483"/>
      <c r="W293" s="379"/>
      <c r="X293" s="379"/>
      <c r="Y293" s="484"/>
      <c r="Z293" s="485"/>
      <c r="AA293" s="244"/>
      <c r="AB293" s="481"/>
      <c r="AC293" s="481"/>
      <c r="AD293" s="486"/>
      <c r="AE293" s="379"/>
      <c r="AF293" s="487"/>
      <c r="AG293" s="481"/>
      <c r="AH293" s="203"/>
      <c r="AI293" s="489"/>
      <c r="AJ293" s="489"/>
      <c r="AT293" s="278"/>
      <c r="AU293" s="278"/>
    </row>
    <row r="294" spans="2:47" s="277" customFormat="1" ht="15.6" customHeight="1" x14ac:dyDescent="0.25">
      <c r="B294" s="480"/>
      <c r="C294" s="480"/>
      <c r="D294" s="244"/>
      <c r="E294" s="244"/>
      <c r="F294" s="244"/>
      <c r="G294" s="244"/>
      <c r="H294" s="244"/>
      <c r="I294" s="244"/>
      <c r="J294" s="244"/>
      <c r="K294" s="244"/>
      <c r="L294" s="244"/>
      <c r="M294" s="244"/>
      <c r="N294" s="244"/>
      <c r="O294" s="481"/>
      <c r="P294" s="481"/>
      <c r="Q294" s="481"/>
      <c r="R294" s="379"/>
      <c r="S294" s="380"/>
      <c r="T294" s="482"/>
      <c r="U294" s="379"/>
      <c r="V294" s="483"/>
      <c r="W294" s="379"/>
      <c r="X294" s="379"/>
      <c r="Y294" s="484"/>
      <c r="Z294" s="485"/>
      <c r="AA294" s="244"/>
      <c r="AB294" s="481"/>
      <c r="AC294" s="481"/>
      <c r="AD294" s="486"/>
      <c r="AE294" s="379"/>
      <c r="AF294" s="487"/>
      <c r="AG294" s="481"/>
      <c r="AH294" s="203"/>
      <c r="AI294" s="489"/>
      <c r="AJ294" s="489"/>
      <c r="AT294" s="278"/>
      <c r="AU294" s="278"/>
    </row>
    <row r="295" spans="2:47" s="277" customFormat="1" ht="15.6" customHeight="1" x14ac:dyDescent="0.25">
      <c r="B295" s="480"/>
      <c r="C295" s="480"/>
      <c r="D295" s="244"/>
      <c r="E295" s="244"/>
      <c r="F295" s="244"/>
      <c r="G295" s="244"/>
      <c r="H295" s="244"/>
      <c r="I295" s="244"/>
      <c r="J295" s="244"/>
      <c r="K295" s="244"/>
      <c r="L295" s="244"/>
      <c r="M295" s="244"/>
      <c r="N295" s="244"/>
      <c r="O295" s="481"/>
      <c r="P295" s="481"/>
      <c r="Q295" s="481"/>
      <c r="R295" s="379"/>
      <c r="S295" s="380"/>
      <c r="T295" s="482"/>
      <c r="U295" s="379"/>
      <c r="V295" s="483"/>
      <c r="W295" s="379"/>
      <c r="X295" s="379"/>
      <c r="Y295" s="484"/>
      <c r="Z295" s="485"/>
      <c r="AA295" s="244"/>
      <c r="AB295" s="481"/>
      <c r="AC295" s="481"/>
      <c r="AD295" s="486"/>
      <c r="AE295" s="379"/>
      <c r="AF295" s="487"/>
      <c r="AG295" s="481"/>
      <c r="AH295" s="203"/>
      <c r="AI295" s="489"/>
      <c r="AJ295" s="489"/>
      <c r="AT295" s="278"/>
      <c r="AU295" s="278"/>
    </row>
    <row r="296" spans="2:47" s="277" customFormat="1" ht="15.6" customHeight="1" x14ac:dyDescent="0.25">
      <c r="B296" s="480"/>
      <c r="C296" s="480"/>
      <c r="D296" s="244"/>
      <c r="E296" s="244"/>
      <c r="F296" s="244"/>
      <c r="G296" s="244"/>
      <c r="H296" s="244"/>
      <c r="I296" s="244"/>
      <c r="J296" s="244"/>
      <c r="K296" s="244"/>
      <c r="L296" s="244"/>
      <c r="M296" s="244"/>
      <c r="N296" s="244"/>
      <c r="O296" s="481"/>
      <c r="P296" s="481"/>
      <c r="Q296" s="481"/>
      <c r="R296" s="379"/>
      <c r="S296" s="380"/>
      <c r="T296" s="482"/>
      <c r="U296" s="379"/>
      <c r="V296" s="483"/>
      <c r="W296" s="379"/>
      <c r="X296" s="379"/>
      <c r="Y296" s="484"/>
      <c r="Z296" s="485"/>
      <c r="AA296" s="244"/>
      <c r="AB296" s="481"/>
      <c r="AC296" s="481"/>
      <c r="AD296" s="486"/>
      <c r="AE296" s="379"/>
      <c r="AF296" s="487"/>
      <c r="AG296" s="481"/>
      <c r="AH296" s="203"/>
      <c r="AI296" s="489"/>
      <c r="AJ296" s="489"/>
      <c r="AT296" s="278"/>
      <c r="AU296" s="278"/>
    </row>
    <row r="297" spans="2:47" s="277" customFormat="1" ht="15.6" customHeight="1" x14ac:dyDescent="0.25">
      <c r="B297" s="480"/>
      <c r="C297" s="480"/>
      <c r="D297" s="244"/>
      <c r="E297" s="244"/>
      <c r="F297" s="244"/>
      <c r="G297" s="244"/>
      <c r="H297" s="244"/>
      <c r="I297" s="244"/>
      <c r="J297" s="244"/>
      <c r="K297" s="244"/>
      <c r="L297" s="244"/>
      <c r="M297" s="244"/>
      <c r="N297" s="244"/>
      <c r="O297" s="481"/>
      <c r="P297" s="481"/>
      <c r="Q297" s="481"/>
      <c r="R297" s="379"/>
      <c r="S297" s="380"/>
      <c r="T297" s="482"/>
      <c r="U297" s="379"/>
      <c r="V297" s="483"/>
      <c r="W297" s="379"/>
      <c r="X297" s="379"/>
      <c r="Y297" s="484"/>
      <c r="Z297" s="485"/>
      <c r="AA297" s="244"/>
      <c r="AB297" s="481"/>
      <c r="AC297" s="481"/>
      <c r="AD297" s="486"/>
      <c r="AE297" s="379"/>
      <c r="AF297" s="487"/>
      <c r="AG297" s="481"/>
      <c r="AH297" s="203"/>
      <c r="AI297" s="489"/>
      <c r="AJ297" s="489"/>
      <c r="AT297" s="278"/>
      <c r="AU297" s="278"/>
    </row>
    <row r="298" spans="2:47" s="277" customFormat="1" ht="15.6" customHeight="1" x14ac:dyDescent="0.25">
      <c r="B298" s="480"/>
      <c r="C298" s="480"/>
      <c r="D298" s="244"/>
      <c r="E298" s="244"/>
      <c r="F298" s="244"/>
      <c r="G298" s="244"/>
      <c r="H298" s="244"/>
      <c r="I298" s="244"/>
      <c r="J298" s="244"/>
      <c r="K298" s="244"/>
      <c r="L298" s="244"/>
      <c r="M298" s="244"/>
      <c r="N298" s="244"/>
      <c r="O298" s="481"/>
      <c r="P298" s="481"/>
      <c r="Q298" s="481"/>
      <c r="R298" s="379"/>
      <c r="S298" s="380"/>
      <c r="T298" s="482"/>
      <c r="U298" s="379"/>
      <c r="V298" s="483"/>
      <c r="W298" s="379"/>
      <c r="X298" s="379"/>
      <c r="Y298" s="484"/>
      <c r="Z298" s="485"/>
      <c r="AA298" s="244"/>
      <c r="AB298" s="481"/>
      <c r="AC298" s="481"/>
      <c r="AD298" s="486"/>
      <c r="AE298" s="379"/>
      <c r="AF298" s="487"/>
      <c r="AG298" s="481"/>
      <c r="AH298" s="203"/>
      <c r="AI298" s="489"/>
      <c r="AJ298" s="489"/>
      <c r="AT298" s="278"/>
      <c r="AU298" s="278"/>
    </row>
    <row r="299" spans="2:47" s="277" customFormat="1" ht="15.6" customHeight="1" x14ac:dyDescent="0.25">
      <c r="B299" s="480"/>
      <c r="C299" s="480"/>
      <c r="D299" s="244"/>
      <c r="E299" s="244"/>
      <c r="F299" s="244"/>
      <c r="G299" s="244"/>
      <c r="H299" s="244"/>
      <c r="I299" s="244"/>
      <c r="J299" s="244"/>
      <c r="K299" s="244"/>
      <c r="L299" s="244"/>
      <c r="M299" s="244"/>
      <c r="N299" s="244"/>
      <c r="O299" s="481"/>
      <c r="P299" s="481"/>
      <c r="Q299" s="481"/>
      <c r="R299" s="379"/>
      <c r="S299" s="380"/>
      <c r="T299" s="482"/>
      <c r="U299" s="379"/>
      <c r="V299" s="483"/>
      <c r="W299" s="379"/>
      <c r="X299" s="379"/>
      <c r="Y299" s="484"/>
      <c r="Z299" s="485"/>
      <c r="AA299" s="244"/>
      <c r="AB299" s="481"/>
      <c r="AC299" s="481"/>
      <c r="AD299" s="486"/>
      <c r="AE299" s="379"/>
      <c r="AF299" s="487"/>
      <c r="AG299" s="481"/>
      <c r="AH299" s="203"/>
      <c r="AI299" s="489"/>
      <c r="AJ299" s="489"/>
      <c r="AT299" s="278"/>
      <c r="AU299" s="278"/>
    </row>
    <row r="300" spans="2:47" s="277" customFormat="1" ht="15.6" customHeight="1" x14ac:dyDescent="0.25">
      <c r="B300" s="480"/>
      <c r="C300" s="480"/>
      <c r="D300" s="244"/>
      <c r="E300" s="244"/>
      <c r="F300" s="244"/>
      <c r="G300" s="244"/>
      <c r="H300" s="244"/>
      <c r="I300" s="244"/>
      <c r="J300" s="244"/>
      <c r="K300" s="244"/>
      <c r="L300" s="244"/>
      <c r="M300" s="244"/>
      <c r="N300" s="244"/>
      <c r="O300" s="481"/>
      <c r="P300" s="481"/>
      <c r="Q300" s="481"/>
      <c r="R300" s="379"/>
      <c r="S300" s="380"/>
      <c r="T300" s="482"/>
      <c r="U300" s="379"/>
      <c r="V300" s="483"/>
      <c r="W300" s="379"/>
      <c r="X300" s="379"/>
      <c r="Y300" s="484"/>
      <c r="Z300" s="485"/>
      <c r="AA300" s="244"/>
      <c r="AB300" s="481"/>
      <c r="AC300" s="481"/>
      <c r="AD300" s="486"/>
      <c r="AE300" s="379"/>
      <c r="AF300" s="487"/>
      <c r="AG300" s="481"/>
      <c r="AH300" s="203"/>
      <c r="AI300" s="489"/>
      <c r="AJ300" s="489"/>
      <c r="AT300" s="278"/>
      <c r="AU300" s="278"/>
    </row>
    <row r="301" spans="2:47" s="277" customFormat="1" ht="15.6" customHeight="1" x14ac:dyDescent="0.25">
      <c r="B301" s="480"/>
      <c r="C301" s="480"/>
      <c r="D301" s="244"/>
      <c r="E301" s="244"/>
      <c r="F301" s="244"/>
      <c r="G301" s="244"/>
      <c r="H301" s="244"/>
      <c r="I301" s="244"/>
      <c r="J301" s="244"/>
      <c r="K301" s="244"/>
      <c r="L301" s="244"/>
      <c r="M301" s="244"/>
      <c r="N301" s="244"/>
      <c r="O301" s="481"/>
      <c r="P301" s="481"/>
      <c r="Q301" s="481"/>
      <c r="R301" s="379"/>
      <c r="S301" s="380"/>
      <c r="T301" s="482"/>
      <c r="U301" s="379"/>
      <c r="V301" s="483"/>
      <c r="W301" s="379"/>
      <c r="X301" s="379"/>
      <c r="Y301" s="484"/>
      <c r="Z301" s="485"/>
      <c r="AA301" s="244"/>
      <c r="AB301" s="481"/>
      <c r="AC301" s="481"/>
      <c r="AD301" s="486"/>
      <c r="AE301" s="379"/>
      <c r="AF301" s="487"/>
      <c r="AG301" s="481"/>
      <c r="AH301" s="203"/>
      <c r="AI301" s="489"/>
      <c r="AJ301" s="489"/>
      <c r="AT301" s="278"/>
      <c r="AU301" s="278"/>
    </row>
    <row r="302" spans="2:47" s="277" customFormat="1" ht="15.6" customHeight="1" x14ac:dyDescent="0.25">
      <c r="B302" s="480"/>
      <c r="C302" s="480"/>
      <c r="D302" s="244"/>
      <c r="E302" s="244"/>
      <c r="F302" s="244"/>
      <c r="G302" s="244"/>
      <c r="H302" s="244"/>
      <c r="I302" s="244"/>
      <c r="J302" s="244"/>
      <c r="K302" s="244"/>
      <c r="L302" s="244"/>
      <c r="M302" s="244"/>
      <c r="N302" s="244"/>
      <c r="O302" s="481"/>
      <c r="P302" s="481"/>
      <c r="Q302" s="481"/>
      <c r="R302" s="379"/>
      <c r="S302" s="380"/>
      <c r="T302" s="482"/>
      <c r="U302" s="379"/>
      <c r="V302" s="483"/>
      <c r="W302" s="379"/>
      <c r="X302" s="379"/>
      <c r="Y302" s="484"/>
      <c r="Z302" s="485"/>
      <c r="AA302" s="244"/>
      <c r="AB302" s="481"/>
      <c r="AC302" s="481"/>
      <c r="AD302" s="486"/>
      <c r="AE302" s="379"/>
      <c r="AF302" s="487"/>
      <c r="AG302" s="481"/>
      <c r="AH302" s="203"/>
      <c r="AI302" s="489"/>
      <c r="AJ302" s="489"/>
      <c r="AT302" s="278"/>
      <c r="AU302" s="278"/>
    </row>
    <row r="303" spans="2:47" s="277" customFormat="1" ht="15.6" customHeight="1" x14ac:dyDescent="0.25">
      <c r="B303" s="480"/>
      <c r="C303" s="480"/>
      <c r="D303" s="244"/>
      <c r="E303" s="244"/>
      <c r="F303" s="244"/>
      <c r="G303" s="244"/>
      <c r="H303" s="244"/>
      <c r="I303" s="244"/>
      <c r="J303" s="244"/>
      <c r="K303" s="244"/>
      <c r="L303" s="244"/>
      <c r="M303" s="244"/>
      <c r="N303" s="244"/>
      <c r="O303" s="481"/>
      <c r="P303" s="481"/>
      <c r="Q303" s="481"/>
      <c r="R303" s="379"/>
      <c r="S303" s="380"/>
      <c r="T303" s="482"/>
      <c r="U303" s="379"/>
      <c r="V303" s="483"/>
      <c r="W303" s="379"/>
      <c r="X303" s="379"/>
      <c r="Y303" s="484"/>
      <c r="Z303" s="485"/>
      <c r="AA303" s="244"/>
      <c r="AB303" s="481"/>
      <c r="AC303" s="481"/>
      <c r="AD303" s="486"/>
      <c r="AE303" s="379"/>
      <c r="AF303" s="487"/>
      <c r="AG303" s="481"/>
      <c r="AH303" s="203"/>
      <c r="AI303" s="489"/>
      <c r="AJ303" s="489"/>
      <c r="AT303" s="278"/>
      <c r="AU303" s="278"/>
    </row>
    <row r="304" spans="2:47" s="277" customFormat="1" ht="15.6" customHeight="1" x14ac:dyDescent="0.25">
      <c r="B304" s="480"/>
      <c r="C304" s="480"/>
      <c r="D304" s="244"/>
      <c r="E304" s="244"/>
      <c r="F304" s="244"/>
      <c r="G304" s="244"/>
      <c r="H304" s="244"/>
      <c r="I304" s="244"/>
      <c r="J304" s="244"/>
      <c r="K304" s="244"/>
      <c r="L304" s="244"/>
      <c r="M304" s="244"/>
      <c r="N304" s="244"/>
      <c r="O304" s="481"/>
      <c r="P304" s="481"/>
      <c r="Q304" s="481"/>
      <c r="R304" s="379"/>
      <c r="S304" s="380"/>
      <c r="T304" s="482"/>
      <c r="U304" s="379"/>
      <c r="V304" s="483"/>
      <c r="W304" s="379"/>
      <c r="X304" s="379"/>
      <c r="Y304" s="484"/>
      <c r="Z304" s="485"/>
      <c r="AA304" s="244"/>
      <c r="AB304" s="481"/>
      <c r="AC304" s="481"/>
      <c r="AD304" s="486"/>
      <c r="AE304" s="379"/>
      <c r="AF304" s="487"/>
      <c r="AG304" s="481"/>
      <c r="AH304" s="203"/>
      <c r="AI304" s="489"/>
      <c r="AJ304" s="489"/>
      <c r="AT304" s="278"/>
      <c r="AU304" s="278"/>
    </row>
    <row r="305" spans="2:47" s="277" customFormat="1" ht="15.6" customHeight="1" x14ac:dyDescent="0.25">
      <c r="B305" s="480"/>
      <c r="C305" s="480"/>
      <c r="D305" s="244"/>
      <c r="E305" s="244"/>
      <c r="F305" s="244"/>
      <c r="G305" s="244"/>
      <c r="H305" s="244"/>
      <c r="I305" s="244"/>
      <c r="J305" s="244"/>
      <c r="K305" s="244"/>
      <c r="L305" s="244"/>
      <c r="M305" s="244"/>
      <c r="N305" s="244"/>
      <c r="O305" s="481"/>
      <c r="P305" s="481"/>
      <c r="Q305" s="481"/>
      <c r="R305" s="379"/>
      <c r="S305" s="380"/>
      <c r="T305" s="482"/>
      <c r="U305" s="379"/>
      <c r="V305" s="483"/>
      <c r="W305" s="379"/>
      <c r="X305" s="379"/>
      <c r="Y305" s="484"/>
      <c r="Z305" s="485"/>
      <c r="AA305" s="244"/>
      <c r="AB305" s="481"/>
      <c r="AC305" s="481"/>
      <c r="AD305" s="486"/>
      <c r="AE305" s="379"/>
      <c r="AF305" s="487"/>
      <c r="AG305" s="481"/>
      <c r="AH305" s="203"/>
      <c r="AI305" s="489"/>
      <c r="AJ305" s="489"/>
      <c r="AT305" s="278"/>
      <c r="AU305" s="278"/>
    </row>
    <row r="306" spans="2:47" s="277" customFormat="1" ht="15.6" customHeight="1" x14ac:dyDescent="0.25">
      <c r="B306" s="480"/>
      <c r="C306" s="480"/>
      <c r="D306" s="244"/>
      <c r="E306" s="244"/>
      <c r="F306" s="244"/>
      <c r="G306" s="244"/>
      <c r="H306" s="244"/>
      <c r="I306" s="244"/>
      <c r="J306" s="244"/>
      <c r="K306" s="244"/>
      <c r="L306" s="244"/>
      <c r="M306" s="244"/>
      <c r="N306" s="244"/>
      <c r="O306" s="481"/>
      <c r="P306" s="481"/>
      <c r="Q306" s="481"/>
      <c r="R306" s="379"/>
      <c r="S306" s="380"/>
      <c r="T306" s="482"/>
      <c r="U306" s="379"/>
      <c r="V306" s="483"/>
      <c r="W306" s="379"/>
      <c r="X306" s="379"/>
      <c r="Y306" s="484"/>
      <c r="Z306" s="485"/>
      <c r="AA306" s="244"/>
      <c r="AB306" s="481"/>
      <c r="AC306" s="481"/>
      <c r="AD306" s="486"/>
      <c r="AE306" s="379"/>
      <c r="AF306" s="487"/>
      <c r="AG306" s="481"/>
      <c r="AH306" s="203"/>
      <c r="AI306" s="489"/>
      <c r="AJ306" s="489"/>
      <c r="AT306" s="278"/>
      <c r="AU306" s="278"/>
    </row>
    <row r="307" spans="2:47" s="277" customFormat="1" ht="15.6" customHeight="1" x14ac:dyDescent="0.25">
      <c r="B307" s="480"/>
      <c r="C307" s="480"/>
      <c r="D307" s="244"/>
      <c r="E307" s="244"/>
      <c r="F307" s="244"/>
      <c r="G307" s="244"/>
      <c r="H307" s="244"/>
      <c r="I307" s="244"/>
      <c r="J307" s="244"/>
      <c r="K307" s="244"/>
      <c r="L307" s="244"/>
      <c r="M307" s="244"/>
      <c r="N307" s="244"/>
      <c r="O307" s="481"/>
      <c r="P307" s="481"/>
      <c r="Q307" s="481"/>
      <c r="R307" s="379"/>
      <c r="S307" s="380"/>
      <c r="T307" s="482"/>
      <c r="U307" s="379"/>
      <c r="V307" s="483"/>
      <c r="W307" s="379"/>
      <c r="X307" s="379"/>
      <c r="Y307" s="484"/>
      <c r="Z307" s="485"/>
      <c r="AA307" s="244"/>
      <c r="AB307" s="481"/>
      <c r="AC307" s="481"/>
      <c r="AD307" s="486"/>
      <c r="AE307" s="379"/>
      <c r="AF307" s="487"/>
      <c r="AG307" s="481"/>
      <c r="AH307" s="203"/>
      <c r="AI307" s="489"/>
      <c r="AJ307" s="489"/>
      <c r="AT307" s="278"/>
      <c r="AU307" s="278"/>
    </row>
    <row r="308" spans="2:47" s="277" customFormat="1" ht="15.6" customHeight="1" x14ac:dyDescent="0.25">
      <c r="B308" s="480"/>
      <c r="C308" s="480"/>
      <c r="D308" s="244"/>
      <c r="E308" s="244"/>
      <c r="F308" s="244"/>
      <c r="G308" s="244"/>
      <c r="H308" s="244"/>
      <c r="I308" s="244"/>
      <c r="J308" s="244"/>
      <c r="K308" s="244"/>
      <c r="L308" s="244"/>
      <c r="M308" s="244"/>
      <c r="N308" s="244"/>
      <c r="O308" s="481"/>
      <c r="P308" s="481"/>
      <c r="Q308" s="481"/>
      <c r="R308" s="379"/>
      <c r="S308" s="380"/>
      <c r="T308" s="482"/>
      <c r="U308" s="379"/>
      <c r="V308" s="483"/>
      <c r="W308" s="379"/>
      <c r="X308" s="379"/>
      <c r="Y308" s="484"/>
      <c r="Z308" s="485"/>
      <c r="AA308" s="244"/>
      <c r="AB308" s="481"/>
      <c r="AC308" s="481"/>
      <c r="AD308" s="486"/>
      <c r="AE308" s="379"/>
      <c r="AF308" s="487"/>
      <c r="AG308" s="481"/>
      <c r="AH308" s="203"/>
      <c r="AI308" s="489"/>
      <c r="AJ308" s="489"/>
      <c r="AT308" s="278"/>
      <c r="AU308" s="278"/>
    </row>
    <row r="309" spans="2:47" s="277" customFormat="1" ht="15.6" customHeight="1" x14ac:dyDescent="0.25">
      <c r="B309" s="480"/>
      <c r="C309" s="480"/>
      <c r="D309" s="244"/>
      <c r="E309" s="244"/>
      <c r="F309" s="244"/>
      <c r="G309" s="244"/>
      <c r="H309" s="244"/>
      <c r="I309" s="244"/>
      <c r="J309" s="244"/>
      <c r="K309" s="244"/>
      <c r="L309" s="244"/>
      <c r="M309" s="244"/>
      <c r="N309" s="244"/>
      <c r="O309" s="481"/>
      <c r="P309" s="481"/>
      <c r="Q309" s="481"/>
      <c r="R309" s="379"/>
      <c r="S309" s="380"/>
      <c r="T309" s="482"/>
      <c r="U309" s="379"/>
      <c r="V309" s="483"/>
      <c r="W309" s="379"/>
      <c r="X309" s="379"/>
      <c r="Y309" s="484"/>
      <c r="Z309" s="485"/>
      <c r="AA309" s="244"/>
      <c r="AB309" s="481"/>
      <c r="AC309" s="481"/>
      <c r="AD309" s="486"/>
      <c r="AE309" s="379"/>
      <c r="AF309" s="487"/>
      <c r="AG309" s="481"/>
      <c r="AH309" s="203"/>
      <c r="AI309" s="489"/>
      <c r="AJ309" s="489"/>
      <c r="AT309" s="278"/>
      <c r="AU309" s="278"/>
    </row>
    <row r="310" spans="2:47" s="277" customFormat="1" ht="15.6" customHeight="1" x14ac:dyDescent="0.25">
      <c r="B310" s="480"/>
      <c r="C310" s="480"/>
      <c r="D310" s="244"/>
      <c r="E310" s="244"/>
      <c r="F310" s="244"/>
      <c r="G310" s="244"/>
      <c r="H310" s="244"/>
      <c r="I310" s="244"/>
      <c r="J310" s="244"/>
      <c r="K310" s="244"/>
      <c r="L310" s="244"/>
      <c r="M310" s="244"/>
      <c r="N310" s="244"/>
      <c r="O310" s="481"/>
      <c r="P310" s="481"/>
      <c r="Q310" s="481"/>
      <c r="R310" s="379"/>
      <c r="S310" s="380"/>
      <c r="T310" s="482"/>
      <c r="U310" s="379"/>
      <c r="V310" s="483"/>
      <c r="W310" s="379"/>
      <c r="X310" s="379"/>
      <c r="Y310" s="484"/>
      <c r="Z310" s="485"/>
      <c r="AA310" s="244"/>
      <c r="AB310" s="481"/>
      <c r="AC310" s="481"/>
      <c r="AD310" s="486"/>
      <c r="AE310" s="379"/>
      <c r="AF310" s="487"/>
      <c r="AG310" s="481"/>
      <c r="AH310" s="203"/>
      <c r="AI310" s="489"/>
      <c r="AJ310" s="489"/>
      <c r="AT310" s="278"/>
      <c r="AU310" s="278"/>
    </row>
    <row r="311" spans="2:47" s="277" customFormat="1" ht="15.6" customHeight="1" x14ac:dyDescent="0.25">
      <c r="B311" s="480"/>
      <c r="C311" s="480"/>
      <c r="D311" s="244"/>
      <c r="E311" s="244"/>
      <c r="F311" s="244"/>
      <c r="G311" s="244"/>
      <c r="H311" s="244"/>
      <c r="I311" s="244"/>
      <c r="J311" s="244"/>
      <c r="K311" s="244"/>
      <c r="L311" s="244"/>
      <c r="M311" s="244"/>
      <c r="N311" s="244"/>
      <c r="O311" s="481"/>
      <c r="P311" s="481"/>
      <c r="Q311" s="481"/>
      <c r="R311" s="379"/>
      <c r="S311" s="380"/>
      <c r="T311" s="482"/>
      <c r="U311" s="379"/>
      <c r="V311" s="483"/>
      <c r="W311" s="379"/>
      <c r="X311" s="379"/>
      <c r="Y311" s="484"/>
      <c r="Z311" s="485"/>
      <c r="AA311" s="244"/>
      <c r="AB311" s="481"/>
      <c r="AC311" s="481"/>
      <c r="AD311" s="486"/>
      <c r="AE311" s="379"/>
      <c r="AF311" s="487"/>
      <c r="AG311" s="481"/>
      <c r="AH311" s="203"/>
      <c r="AI311" s="489"/>
      <c r="AJ311" s="489"/>
      <c r="AT311" s="278"/>
      <c r="AU311" s="278"/>
    </row>
    <row r="312" spans="2:47" s="277" customFormat="1" ht="15.6" customHeight="1" x14ac:dyDescent="0.25">
      <c r="B312" s="480"/>
      <c r="C312" s="480"/>
      <c r="D312" s="244"/>
      <c r="E312" s="244"/>
      <c r="F312" s="244"/>
      <c r="G312" s="244"/>
      <c r="H312" s="244"/>
      <c r="I312" s="244"/>
      <c r="J312" s="244"/>
      <c r="K312" s="244"/>
      <c r="L312" s="244"/>
      <c r="M312" s="244"/>
      <c r="N312" s="244"/>
      <c r="O312" s="481"/>
      <c r="P312" s="481"/>
      <c r="Q312" s="481"/>
      <c r="R312" s="379"/>
      <c r="S312" s="380"/>
      <c r="T312" s="482"/>
      <c r="U312" s="379"/>
      <c r="V312" s="483"/>
      <c r="W312" s="379"/>
      <c r="X312" s="379"/>
      <c r="Y312" s="484"/>
      <c r="Z312" s="485"/>
      <c r="AA312" s="244"/>
      <c r="AB312" s="481"/>
      <c r="AC312" s="481"/>
      <c r="AD312" s="486"/>
      <c r="AE312" s="379"/>
      <c r="AF312" s="487"/>
      <c r="AG312" s="481"/>
      <c r="AH312" s="203"/>
      <c r="AI312" s="489"/>
      <c r="AJ312" s="489"/>
      <c r="AT312" s="278"/>
      <c r="AU312" s="278"/>
    </row>
    <row r="313" spans="2:47" s="277" customFormat="1" ht="15.6" customHeight="1" x14ac:dyDescent="0.25">
      <c r="B313" s="480"/>
      <c r="C313" s="480"/>
      <c r="D313" s="244"/>
      <c r="E313" s="244"/>
      <c r="F313" s="244"/>
      <c r="G313" s="244"/>
      <c r="H313" s="244"/>
      <c r="I313" s="244"/>
      <c r="J313" s="244"/>
      <c r="K313" s="244"/>
      <c r="L313" s="244"/>
      <c r="M313" s="244"/>
      <c r="N313" s="244"/>
      <c r="O313" s="481"/>
      <c r="P313" s="481"/>
      <c r="Q313" s="481"/>
      <c r="R313" s="379"/>
      <c r="S313" s="380"/>
      <c r="T313" s="482"/>
      <c r="U313" s="379"/>
      <c r="V313" s="483"/>
      <c r="W313" s="379"/>
      <c r="X313" s="379"/>
      <c r="Y313" s="484"/>
      <c r="Z313" s="485"/>
      <c r="AA313" s="244"/>
      <c r="AB313" s="481"/>
      <c r="AC313" s="481"/>
      <c r="AD313" s="486"/>
      <c r="AE313" s="379"/>
      <c r="AF313" s="487"/>
      <c r="AG313" s="481"/>
      <c r="AH313" s="203"/>
      <c r="AI313" s="489"/>
      <c r="AJ313" s="489"/>
      <c r="AT313" s="278"/>
      <c r="AU313" s="278"/>
    </row>
    <row r="314" spans="2:47" s="277" customFormat="1" ht="15.6" customHeight="1" x14ac:dyDescent="0.25">
      <c r="B314" s="480"/>
      <c r="C314" s="480"/>
      <c r="D314" s="244"/>
      <c r="E314" s="244"/>
      <c r="F314" s="244"/>
      <c r="G314" s="244"/>
      <c r="H314" s="244"/>
      <c r="I314" s="244"/>
      <c r="J314" s="244"/>
      <c r="K314" s="244"/>
      <c r="L314" s="244"/>
      <c r="M314" s="244"/>
      <c r="N314" s="244"/>
      <c r="O314" s="481"/>
      <c r="P314" s="481"/>
      <c r="Q314" s="481"/>
      <c r="R314" s="379"/>
      <c r="S314" s="380"/>
      <c r="T314" s="482"/>
      <c r="U314" s="379"/>
      <c r="V314" s="483"/>
      <c r="W314" s="379"/>
      <c r="X314" s="379"/>
      <c r="Y314" s="484"/>
      <c r="Z314" s="485"/>
      <c r="AA314" s="244"/>
      <c r="AB314" s="481"/>
      <c r="AC314" s="481"/>
      <c r="AD314" s="486"/>
      <c r="AE314" s="379"/>
      <c r="AF314" s="487"/>
      <c r="AG314" s="481"/>
      <c r="AH314" s="203"/>
      <c r="AI314" s="489"/>
      <c r="AJ314" s="489"/>
      <c r="AT314" s="278"/>
      <c r="AU314" s="278"/>
    </row>
    <row r="315" spans="2:47" s="277" customFormat="1" ht="15.6" customHeight="1" x14ac:dyDescent="0.25">
      <c r="B315" s="480"/>
      <c r="C315" s="480"/>
      <c r="D315" s="244"/>
      <c r="E315" s="244"/>
      <c r="F315" s="244"/>
      <c r="G315" s="244"/>
      <c r="H315" s="244"/>
      <c r="I315" s="244"/>
      <c r="J315" s="244"/>
      <c r="K315" s="244"/>
      <c r="L315" s="244"/>
      <c r="M315" s="244"/>
      <c r="N315" s="244"/>
      <c r="O315" s="481"/>
      <c r="P315" s="481"/>
      <c r="Q315" s="481"/>
      <c r="R315" s="379"/>
      <c r="S315" s="380"/>
      <c r="T315" s="482"/>
      <c r="U315" s="379"/>
      <c r="V315" s="483"/>
      <c r="W315" s="379"/>
      <c r="X315" s="379"/>
      <c r="Y315" s="484"/>
      <c r="Z315" s="485"/>
      <c r="AA315" s="244"/>
      <c r="AB315" s="481"/>
      <c r="AC315" s="481"/>
      <c r="AD315" s="486"/>
      <c r="AE315" s="379"/>
      <c r="AF315" s="487"/>
      <c r="AG315" s="481"/>
      <c r="AH315" s="203"/>
      <c r="AI315" s="489"/>
      <c r="AJ315" s="489"/>
      <c r="AT315" s="278"/>
      <c r="AU315" s="278"/>
    </row>
    <row r="316" spans="2:47" s="277" customFormat="1" ht="15.6" customHeight="1" x14ac:dyDescent="0.25">
      <c r="B316" s="480"/>
      <c r="C316" s="480"/>
      <c r="D316" s="244"/>
      <c r="E316" s="244"/>
      <c r="F316" s="244"/>
      <c r="G316" s="244"/>
      <c r="H316" s="244"/>
      <c r="I316" s="244"/>
      <c r="J316" s="244"/>
      <c r="K316" s="244"/>
      <c r="L316" s="244"/>
      <c r="M316" s="244"/>
      <c r="N316" s="244"/>
      <c r="O316" s="481"/>
      <c r="P316" s="481"/>
      <c r="Q316" s="481"/>
      <c r="R316" s="379"/>
      <c r="S316" s="380"/>
      <c r="T316" s="482"/>
      <c r="U316" s="379"/>
      <c r="V316" s="483"/>
      <c r="W316" s="379"/>
      <c r="X316" s="379"/>
      <c r="Y316" s="484"/>
      <c r="Z316" s="485"/>
      <c r="AA316" s="244"/>
      <c r="AB316" s="481"/>
      <c r="AC316" s="481"/>
      <c r="AD316" s="486"/>
      <c r="AE316" s="379"/>
      <c r="AF316" s="487"/>
      <c r="AG316" s="481"/>
      <c r="AH316" s="203"/>
      <c r="AI316" s="489"/>
      <c r="AJ316" s="489"/>
      <c r="AT316" s="278"/>
      <c r="AU316" s="278"/>
    </row>
    <row r="317" spans="2:47" s="277" customFormat="1" ht="15.6" customHeight="1" x14ac:dyDescent="0.25">
      <c r="B317" s="480"/>
      <c r="C317" s="480"/>
      <c r="D317" s="244"/>
      <c r="E317" s="244"/>
      <c r="F317" s="244"/>
      <c r="G317" s="244"/>
      <c r="H317" s="244"/>
      <c r="I317" s="244"/>
      <c r="J317" s="244"/>
      <c r="K317" s="244"/>
      <c r="L317" s="244"/>
      <c r="M317" s="244"/>
      <c r="N317" s="244"/>
      <c r="O317" s="481"/>
      <c r="P317" s="481"/>
      <c r="Q317" s="481"/>
      <c r="R317" s="379"/>
      <c r="S317" s="380"/>
      <c r="T317" s="482"/>
      <c r="U317" s="379"/>
      <c r="V317" s="483"/>
      <c r="W317" s="379"/>
      <c r="X317" s="379"/>
      <c r="Y317" s="484"/>
      <c r="Z317" s="485"/>
      <c r="AA317" s="244"/>
      <c r="AB317" s="481"/>
      <c r="AC317" s="481"/>
      <c r="AD317" s="486"/>
      <c r="AE317" s="379"/>
      <c r="AF317" s="487"/>
      <c r="AG317" s="481"/>
      <c r="AH317" s="203"/>
      <c r="AI317" s="489"/>
      <c r="AJ317" s="489"/>
      <c r="AT317" s="278"/>
      <c r="AU317" s="278"/>
    </row>
    <row r="318" spans="2:47" s="277" customFormat="1" ht="15.6" customHeight="1" x14ac:dyDescent="0.25">
      <c r="B318" s="480"/>
      <c r="C318" s="480"/>
      <c r="D318" s="244"/>
      <c r="E318" s="244"/>
      <c r="F318" s="244"/>
      <c r="G318" s="244"/>
      <c r="H318" s="244"/>
      <c r="I318" s="244"/>
      <c r="J318" s="244"/>
      <c r="K318" s="244"/>
      <c r="L318" s="244"/>
      <c r="M318" s="244"/>
      <c r="N318" s="244"/>
      <c r="O318" s="481"/>
      <c r="P318" s="481"/>
      <c r="Q318" s="481"/>
      <c r="R318" s="379"/>
      <c r="S318" s="380"/>
      <c r="T318" s="482"/>
      <c r="U318" s="379"/>
      <c r="V318" s="483"/>
      <c r="W318" s="379"/>
      <c r="X318" s="379"/>
      <c r="Y318" s="484"/>
      <c r="Z318" s="485"/>
      <c r="AA318" s="244"/>
      <c r="AB318" s="481"/>
      <c r="AC318" s="481"/>
      <c r="AD318" s="486"/>
      <c r="AE318" s="379"/>
      <c r="AF318" s="487"/>
      <c r="AG318" s="481"/>
      <c r="AH318" s="203"/>
      <c r="AI318" s="489"/>
      <c r="AJ318" s="489"/>
      <c r="AT318" s="278"/>
      <c r="AU318" s="278"/>
    </row>
    <row r="319" spans="2:47" s="277" customFormat="1" ht="15.6" customHeight="1" x14ac:dyDescent="0.25">
      <c r="B319" s="480"/>
      <c r="C319" s="480"/>
      <c r="D319" s="244"/>
      <c r="E319" s="244"/>
      <c r="F319" s="244"/>
      <c r="G319" s="244"/>
      <c r="H319" s="244"/>
      <c r="I319" s="244"/>
      <c r="J319" s="244"/>
      <c r="K319" s="244"/>
      <c r="L319" s="244"/>
      <c r="M319" s="244"/>
      <c r="N319" s="244"/>
      <c r="O319" s="481"/>
      <c r="P319" s="481"/>
      <c r="Q319" s="481"/>
      <c r="R319" s="379"/>
      <c r="S319" s="380"/>
      <c r="T319" s="482"/>
      <c r="U319" s="379"/>
      <c r="V319" s="483"/>
      <c r="W319" s="379"/>
      <c r="X319" s="379"/>
      <c r="Y319" s="484"/>
      <c r="Z319" s="485"/>
      <c r="AA319" s="244"/>
      <c r="AB319" s="481"/>
      <c r="AC319" s="481"/>
      <c r="AD319" s="486"/>
      <c r="AE319" s="379"/>
      <c r="AF319" s="487"/>
      <c r="AG319" s="481"/>
      <c r="AH319" s="203"/>
      <c r="AI319" s="489"/>
      <c r="AJ319" s="489"/>
      <c r="AT319" s="278"/>
      <c r="AU319" s="278"/>
    </row>
    <row r="320" spans="2:47" s="277" customFormat="1" ht="15.6" customHeight="1" x14ac:dyDescent="0.25">
      <c r="B320" s="480"/>
      <c r="C320" s="480"/>
      <c r="D320" s="244"/>
      <c r="E320" s="244"/>
      <c r="F320" s="244"/>
      <c r="G320" s="244"/>
      <c r="H320" s="244"/>
      <c r="I320" s="244"/>
      <c r="J320" s="244"/>
      <c r="K320" s="244"/>
      <c r="L320" s="244"/>
      <c r="M320" s="244"/>
      <c r="N320" s="244"/>
      <c r="O320" s="481"/>
      <c r="P320" s="481"/>
      <c r="Q320" s="481"/>
      <c r="R320" s="379"/>
      <c r="S320" s="380"/>
      <c r="T320" s="482"/>
      <c r="U320" s="379"/>
      <c r="V320" s="483"/>
      <c r="W320" s="379"/>
      <c r="X320" s="379"/>
      <c r="Y320" s="484"/>
      <c r="Z320" s="485"/>
      <c r="AA320" s="244"/>
      <c r="AB320" s="481"/>
      <c r="AC320" s="481"/>
      <c r="AD320" s="486"/>
      <c r="AE320" s="379"/>
      <c r="AF320" s="487"/>
      <c r="AG320" s="481"/>
      <c r="AH320" s="203"/>
      <c r="AI320" s="489"/>
      <c r="AJ320" s="489"/>
      <c r="AT320" s="278"/>
      <c r="AU320" s="278"/>
    </row>
    <row r="321" spans="2:47" s="277" customFormat="1" ht="15.6" customHeight="1" x14ac:dyDescent="0.25">
      <c r="B321" s="480"/>
      <c r="C321" s="480"/>
      <c r="D321" s="244"/>
      <c r="E321" s="244"/>
      <c r="F321" s="244"/>
      <c r="G321" s="244"/>
      <c r="H321" s="244"/>
      <c r="I321" s="244"/>
      <c r="J321" s="244"/>
      <c r="K321" s="244"/>
      <c r="L321" s="244"/>
      <c r="M321" s="244"/>
      <c r="N321" s="244"/>
      <c r="O321" s="481"/>
      <c r="P321" s="481"/>
      <c r="Q321" s="481"/>
      <c r="R321" s="379"/>
      <c r="S321" s="380"/>
      <c r="T321" s="482"/>
      <c r="U321" s="379"/>
      <c r="V321" s="483"/>
      <c r="W321" s="379"/>
      <c r="X321" s="379"/>
      <c r="Y321" s="484"/>
      <c r="Z321" s="485"/>
      <c r="AA321" s="244"/>
      <c r="AB321" s="481"/>
      <c r="AC321" s="481"/>
      <c r="AD321" s="486"/>
      <c r="AE321" s="379"/>
      <c r="AF321" s="487"/>
      <c r="AG321" s="481"/>
      <c r="AH321" s="203"/>
      <c r="AI321" s="489"/>
      <c r="AJ321" s="489"/>
      <c r="AT321" s="278"/>
      <c r="AU321" s="278"/>
    </row>
    <row r="322" spans="2:47" s="277" customFormat="1" ht="15.6" customHeight="1" x14ac:dyDescent="0.25">
      <c r="B322" s="480"/>
      <c r="C322" s="480"/>
      <c r="D322" s="244"/>
      <c r="E322" s="244"/>
      <c r="F322" s="244"/>
      <c r="G322" s="244"/>
      <c r="H322" s="244"/>
      <c r="I322" s="244"/>
      <c r="J322" s="244"/>
      <c r="K322" s="244"/>
      <c r="L322" s="244"/>
      <c r="M322" s="244"/>
      <c r="N322" s="244"/>
      <c r="O322" s="481"/>
      <c r="P322" s="481"/>
      <c r="Q322" s="481"/>
      <c r="R322" s="379"/>
      <c r="S322" s="380"/>
      <c r="T322" s="482"/>
      <c r="U322" s="379"/>
      <c r="V322" s="483"/>
      <c r="W322" s="379"/>
      <c r="X322" s="379"/>
      <c r="Y322" s="484"/>
      <c r="Z322" s="485"/>
      <c r="AA322" s="244"/>
      <c r="AB322" s="481"/>
      <c r="AC322" s="481"/>
      <c r="AD322" s="486"/>
      <c r="AE322" s="379"/>
      <c r="AF322" s="487"/>
      <c r="AG322" s="481"/>
      <c r="AH322" s="203"/>
      <c r="AI322" s="489"/>
      <c r="AJ322" s="489"/>
      <c r="AT322" s="278"/>
      <c r="AU322" s="278"/>
    </row>
    <row r="323" spans="2:47" s="277" customFormat="1" ht="15.6" customHeight="1" x14ac:dyDescent="0.25">
      <c r="B323" s="480"/>
      <c r="C323" s="480"/>
      <c r="D323" s="244"/>
      <c r="E323" s="244"/>
      <c r="F323" s="244"/>
      <c r="G323" s="244"/>
      <c r="H323" s="244"/>
      <c r="I323" s="244"/>
      <c r="J323" s="244"/>
      <c r="K323" s="244"/>
      <c r="L323" s="244"/>
      <c r="M323" s="244"/>
      <c r="N323" s="244"/>
      <c r="O323" s="481"/>
      <c r="P323" s="481"/>
      <c r="Q323" s="481"/>
      <c r="R323" s="379"/>
      <c r="S323" s="380"/>
      <c r="T323" s="482"/>
      <c r="U323" s="379"/>
      <c r="V323" s="483"/>
      <c r="W323" s="379"/>
      <c r="X323" s="379"/>
      <c r="Y323" s="484"/>
      <c r="Z323" s="485"/>
      <c r="AA323" s="244"/>
      <c r="AB323" s="481"/>
      <c r="AC323" s="481"/>
      <c r="AD323" s="486"/>
      <c r="AE323" s="379"/>
      <c r="AF323" s="487"/>
      <c r="AG323" s="481"/>
      <c r="AH323" s="203"/>
      <c r="AI323" s="489"/>
      <c r="AJ323" s="489"/>
      <c r="AT323" s="278"/>
      <c r="AU323" s="278"/>
    </row>
    <row r="324" spans="2:47" s="277" customFormat="1" ht="15.6" customHeight="1" x14ac:dyDescent="0.25">
      <c r="B324" s="480"/>
      <c r="C324" s="480"/>
      <c r="D324" s="244"/>
      <c r="E324" s="244"/>
      <c r="F324" s="244"/>
      <c r="G324" s="244"/>
      <c r="H324" s="244"/>
      <c r="I324" s="244"/>
      <c r="J324" s="244"/>
      <c r="K324" s="244"/>
      <c r="L324" s="244"/>
      <c r="M324" s="244"/>
      <c r="N324" s="244"/>
      <c r="O324" s="481"/>
      <c r="P324" s="481"/>
      <c r="Q324" s="481"/>
      <c r="R324" s="379"/>
      <c r="S324" s="380"/>
      <c r="T324" s="482"/>
      <c r="U324" s="379"/>
      <c r="V324" s="483"/>
      <c r="W324" s="379"/>
      <c r="X324" s="379"/>
      <c r="Y324" s="484"/>
      <c r="Z324" s="485"/>
      <c r="AA324" s="244"/>
      <c r="AB324" s="481"/>
      <c r="AC324" s="481"/>
      <c r="AD324" s="486"/>
      <c r="AE324" s="379"/>
      <c r="AF324" s="487"/>
      <c r="AG324" s="481"/>
      <c r="AH324" s="203"/>
      <c r="AI324" s="489"/>
      <c r="AJ324" s="489"/>
      <c r="AT324" s="278"/>
      <c r="AU324" s="278"/>
    </row>
    <row r="325" spans="2:47" s="277" customFormat="1" ht="15.6" customHeight="1" x14ac:dyDescent="0.25">
      <c r="B325" s="480"/>
      <c r="C325" s="480"/>
      <c r="D325" s="244"/>
      <c r="E325" s="244"/>
      <c r="F325" s="244"/>
      <c r="G325" s="244"/>
      <c r="H325" s="244"/>
      <c r="I325" s="244"/>
      <c r="J325" s="244"/>
      <c r="K325" s="244"/>
      <c r="L325" s="244"/>
      <c r="M325" s="244"/>
      <c r="N325" s="244"/>
      <c r="O325" s="481"/>
      <c r="P325" s="481"/>
      <c r="Q325" s="481"/>
      <c r="R325" s="379"/>
      <c r="S325" s="380"/>
      <c r="T325" s="482"/>
      <c r="U325" s="379"/>
      <c r="V325" s="483"/>
      <c r="W325" s="379"/>
      <c r="X325" s="379"/>
      <c r="Y325" s="484"/>
      <c r="Z325" s="485"/>
      <c r="AA325" s="244"/>
      <c r="AB325" s="481"/>
      <c r="AC325" s="481"/>
      <c r="AD325" s="486"/>
      <c r="AE325" s="379"/>
      <c r="AF325" s="487"/>
      <c r="AG325" s="481"/>
      <c r="AH325" s="203"/>
      <c r="AI325" s="489"/>
      <c r="AJ325" s="489"/>
      <c r="AT325" s="278"/>
      <c r="AU325" s="278"/>
    </row>
    <row r="326" spans="2:47" s="277" customFormat="1" ht="15.6" customHeight="1" x14ac:dyDescent="0.25">
      <c r="B326" s="480"/>
      <c r="C326" s="480"/>
      <c r="D326" s="244"/>
      <c r="E326" s="244"/>
      <c r="F326" s="244"/>
      <c r="G326" s="244"/>
      <c r="H326" s="244"/>
      <c r="I326" s="244"/>
      <c r="J326" s="244"/>
      <c r="K326" s="244"/>
      <c r="L326" s="244"/>
      <c r="M326" s="244"/>
      <c r="N326" s="244"/>
      <c r="O326" s="481"/>
      <c r="P326" s="481"/>
      <c r="Q326" s="481"/>
      <c r="R326" s="379"/>
      <c r="S326" s="380"/>
      <c r="T326" s="482"/>
      <c r="U326" s="379"/>
      <c r="V326" s="483"/>
      <c r="W326" s="379"/>
      <c r="X326" s="379"/>
      <c r="Y326" s="484"/>
      <c r="Z326" s="485"/>
      <c r="AA326" s="244"/>
      <c r="AB326" s="481"/>
      <c r="AC326" s="481"/>
      <c r="AD326" s="486"/>
      <c r="AE326" s="379"/>
      <c r="AF326" s="487"/>
      <c r="AG326" s="481"/>
      <c r="AH326" s="203"/>
      <c r="AI326" s="489"/>
      <c r="AJ326" s="489"/>
      <c r="AT326" s="278"/>
      <c r="AU326" s="278"/>
    </row>
    <row r="327" spans="2:47" s="277" customFormat="1" ht="15.6" customHeight="1" x14ac:dyDescent="0.25">
      <c r="B327" s="480"/>
      <c r="C327" s="480"/>
      <c r="D327" s="244"/>
      <c r="E327" s="244"/>
      <c r="F327" s="244"/>
      <c r="G327" s="244"/>
      <c r="H327" s="244"/>
      <c r="I327" s="244"/>
      <c r="J327" s="244"/>
      <c r="K327" s="244"/>
      <c r="L327" s="244"/>
      <c r="M327" s="244"/>
      <c r="N327" s="244"/>
      <c r="O327" s="481"/>
      <c r="P327" s="481"/>
      <c r="Q327" s="481"/>
      <c r="R327" s="379"/>
      <c r="S327" s="380"/>
      <c r="T327" s="482"/>
      <c r="U327" s="379"/>
      <c r="V327" s="483"/>
      <c r="W327" s="379"/>
      <c r="X327" s="379"/>
      <c r="Y327" s="484"/>
      <c r="Z327" s="485"/>
      <c r="AA327" s="244"/>
      <c r="AB327" s="481"/>
      <c r="AC327" s="481"/>
      <c r="AD327" s="486"/>
      <c r="AE327" s="379"/>
      <c r="AF327" s="487"/>
      <c r="AG327" s="481"/>
      <c r="AH327" s="203"/>
      <c r="AI327" s="489"/>
      <c r="AJ327" s="489"/>
      <c r="AT327" s="278"/>
      <c r="AU327" s="278"/>
    </row>
    <row r="328" spans="2:47" s="277" customFormat="1" ht="15.6" customHeight="1" x14ac:dyDescent="0.25">
      <c r="B328" s="480"/>
      <c r="C328" s="480"/>
      <c r="D328" s="244"/>
      <c r="E328" s="244"/>
      <c r="F328" s="244"/>
      <c r="G328" s="244"/>
      <c r="H328" s="244"/>
      <c r="I328" s="244"/>
      <c r="J328" s="244"/>
      <c r="K328" s="244"/>
      <c r="L328" s="244"/>
      <c r="M328" s="244"/>
      <c r="N328" s="244"/>
      <c r="O328" s="481"/>
      <c r="P328" s="481"/>
      <c r="Q328" s="481"/>
      <c r="R328" s="379"/>
      <c r="S328" s="380"/>
      <c r="T328" s="482"/>
      <c r="U328" s="379"/>
      <c r="V328" s="483"/>
      <c r="W328" s="379"/>
      <c r="X328" s="379"/>
      <c r="Y328" s="484"/>
      <c r="Z328" s="485"/>
      <c r="AA328" s="244"/>
      <c r="AB328" s="481"/>
      <c r="AC328" s="481"/>
      <c r="AD328" s="486"/>
      <c r="AE328" s="379"/>
      <c r="AF328" s="487"/>
      <c r="AG328" s="481"/>
      <c r="AH328" s="203"/>
      <c r="AI328" s="489"/>
      <c r="AJ328" s="489"/>
      <c r="AT328" s="278"/>
      <c r="AU328" s="278"/>
    </row>
    <row r="329" spans="2:47" s="277" customFormat="1" ht="15.6" customHeight="1" x14ac:dyDescent="0.25">
      <c r="B329" s="480"/>
      <c r="C329" s="480"/>
      <c r="D329" s="244"/>
      <c r="E329" s="244"/>
      <c r="F329" s="244"/>
      <c r="G329" s="244"/>
      <c r="H329" s="244"/>
      <c r="I329" s="244"/>
      <c r="J329" s="244"/>
      <c r="K329" s="244"/>
      <c r="L329" s="244"/>
      <c r="M329" s="244"/>
      <c r="N329" s="244"/>
      <c r="O329" s="481"/>
      <c r="P329" s="481"/>
      <c r="Q329" s="481"/>
      <c r="R329" s="379"/>
      <c r="S329" s="380"/>
      <c r="T329" s="482"/>
      <c r="U329" s="379"/>
      <c r="V329" s="483"/>
      <c r="W329" s="379"/>
      <c r="X329" s="379"/>
      <c r="Y329" s="484"/>
      <c r="Z329" s="485"/>
      <c r="AA329" s="244"/>
      <c r="AB329" s="481"/>
      <c r="AC329" s="481"/>
      <c r="AD329" s="486"/>
      <c r="AE329" s="379"/>
      <c r="AF329" s="487"/>
      <c r="AG329" s="481"/>
      <c r="AH329" s="203"/>
      <c r="AI329" s="489"/>
      <c r="AJ329" s="489"/>
      <c r="AT329" s="278"/>
      <c r="AU329" s="278"/>
    </row>
    <row r="330" spans="2:47" s="277" customFormat="1" ht="15.6" customHeight="1" x14ac:dyDescent="0.25">
      <c r="B330" s="480"/>
      <c r="C330" s="480"/>
      <c r="D330" s="244"/>
      <c r="E330" s="244"/>
      <c r="F330" s="244"/>
      <c r="G330" s="244"/>
      <c r="H330" s="244"/>
      <c r="I330" s="244"/>
      <c r="J330" s="244"/>
      <c r="K330" s="244"/>
      <c r="L330" s="244"/>
      <c r="M330" s="244"/>
      <c r="N330" s="244"/>
      <c r="O330" s="481"/>
      <c r="P330" s="481"/>
      <c r="Q330" s="481"/>
      <c r="R330" s="379"/>
      <c r="S330" s="380"/>
      <c r="T330" s="482"/>
      <c r="U330" s="379"/>
      <c r="V330" s="483"/>
      <c r="W330" s="379"/>
      <c r="X330" s="379"/>
      <c r="Y330" s="484"/>
      <c r="Z330" s="485"/>
      <c r="AA330" s="244"/>
      <c r="AB330" s="481"/>
      <c r="AC330" s="481"/>
      <c r="AD330" s="486"/>
      <c r="AE330" s="379"/>
      <c r="AF330" s="487"/>
      <c r="AG330" s="481"/>
      <c r="AH330" s="203"/>
      <c r="AI330" s="489"/>
      <c r="AJ330" s="489"/>
      <c r="AT330" s="278"/>
      <c r="AU330" s="278"/>
    </row>
    <row r="331" spans="2:47" s="277" customFormat="1" ht="15.6" customHeight="1" x14ac:dyDescent="0.25">
      <c r="B331" s="480"/>
      <c r="C331" s="480"/>
      <c r="D331" s="244"/>
      <c r="E331" s="244"/>
      <c r="F331" s="244"/>
      <c r="G331" s="244"/>
      <c r="H331" s="244"/>
      <c r="I331" s="244"/>
      <c r="J331" s="244"/>
      <c r="K331" s="244"/>
      <c r="L331" s="244"/>
      <c r="M331" s="244"/>
      <c r="N331" s="244"/>
      <c r="O331" s="481"/>
      <c r="P331" s="481"/>
      <c r="Q331" s="481"/>
      <c r="R331" s="379"/>
      <c r="S331" s="380"/>
      <c r="T331" s="482"/>
      <c r="U331" s="379"/>
      <c r="V331" s="483"/>
      <c r="W331" s="379"/>
      <c r="X331" s="379"/>
      <c r="Y331" s="484"/>
      <c r="Z331" s="485"/>
      <c r="AA331" s="244"/>
      <c r="AB331" s="481"/>
      <c r="AC331" s="481"/>
      <c r="AD331" s="486"/>
      <c r="AE331" s="379"/>
      <c r="AF331" s="487"/>
      <c r="AG331" s="481"/>
      <c r="AH331" s="203"/>
      <c r="AI331" s="489"/>
      <c r="AJ331" s="489"/>
      <c r="AT331" s="278"/>
      <c r="AU331" s="278"/>
    </row>
    <row r="332" spans="2:47" s="277" customFormat="1" ht="15.6" customHeight="1" x14ac:dyDescent="0.25">
      <c r="B332" s="480"/>
      <c r="C332" s="480"/>
      <c r="D332" s="244"/>
      <c r="E332" s="244"/>
      <c r="F332" s="244"/>
      <c r="G332" s="244"/>
      <c r="H332" s="244"/>
      <c r="I332" s="244"/>
      <c r="J332" s="244"/>
      <c r="K332" s="244"/>
      <c r="L332" s="244"/>
      <c r="M332" s="244"/>
      <c r="N332" s="244"/>
      <c r="O332" s="481"/>
      <c r="P332" s="481"/>
      <c r="Q332" s="481"/>
      <c r="R332" s="379"/>
      <c r="S332" s="380"/>
      <c r="T332" s="482"/>
      <c r="U332" s="379"/>
      <c r="V332" s="483"/>
      <c r="W332" s="379"/>
      <c r="X332" s="379"/>
      <c r="Y332" s="484"/>
      <c r="Z332" s="485"/>
      <c r="AA332" s="244"/>
      <c r="AB332" s="481"/>
      <c r="AC332" s="481"/>
      <c r="AD332" s="486"/>
      <c r="AE332" s="379"/>
      <c r="AF332" s="487"/>
      <c r="AG332" s="481"/>
      <c r="AH332" s="203"/>
      <c r="AI332" s="489"/>
      <c r="AJ332" s="489"/>
      <c r="AT332" s="278"/>
      <c r="AU332" s="278"/>
    </row>
    <row r="333" spans="2:47" s="277" customFormat="1" ht="15.6" customHeight="1" x14ac:dyDescent="0.25">
      <c r="B333" s="480"/>
      <c r="C333" s="480"/>
      <c r="D333" s="244"/>
      <c r="E333" s="244"/>
      <c r="F333" s="244"/>
      <c r="G333" s="244"/>
      <c r="H333" s="244"/>
      <c r="I333" s="244"/>
      <c r="J333" s="244"/>
      <c r="K333" s="244"/>
      <c r="L333" s="244"/>
      <c r="M333" s="244"/>
      <c r="N333" s="244"/>
      <c r="O333" s="481"/>
      <c r="P333" s="481"/>
      <c r="Q333" s="481"/>
      <c r="R333" s="379"/>
      <c r="S333" s="380"/>
      <c r="T333" s="482"/>
      <c r="U333" s="379"/>
      <c r="V333" s="483"/>
      <c r="W333" s="379"/>
      <c r="X333" s="379"/>
      <c r="Y333" s="484"/>
      <c r="Z333" s="485"/>
      <c r="AA333" s="244"/>
      <c r="AB333" s="481"/>
      <c r="AC333" s="481"/>
      <c r="AD333" s="486"/>
      <c r="AE333" s="379"/>
      <c r="AF333" s="487"/>
      <c r="AG333" s="481"/>
      <c r="AH333" s="203"/>
      <c r="AI333" s="489"/>
      <c r="AJ333" s="489"/>
      <c r="AT333" s="278"/>
      <c r="AU333" s="278"/>
    </row>
    <row r="334" spans="2:47" s="277" customFormat="1" ht="15.6" customHeight="1" x14ac:dyDescent="0.25">
      <c r="B334" s="480"/>
      <c r="C334" s="480"/>
      <c r="D334" s="244"/>
      <c r="E334" s="244"/>
      <c r="F334" s="244"/>
      <c r="G334" s="244"/>
      <c r="H334" s="244"/>
      <c r="I334" s="244"/>
      <c r="J334" s="244"/>
      <c r="K334" s="244"/>
      <c r="L334" s="244"/>
      <c r="M334" s="244"/>
      <c r="N334" s="244"/>
      <c r="O334" s="481"/>
      <c r="P334" s="481"/>
      <c r="Q334" s="481"/>
      <c r="R334" s="379"/>
      <c r="S334" s="380"/>
      <c r="T334" s="482"/>
      <c r="U334" s="379"/>
      <c r="V334" s="483"/>
      <c r="W334" s="379"/>
      <c r="X334" s="379"/>
      <c r="Y334" s="484"/>
      <c r="Z334" s="485"/>
      <c r="AA334" s="244"/>
      <c r="AB334" s="481"/>
      <c r="AC334" s="481"/>
      <c r="AD334" s="486"/>
      <c r="AE334" s="379"/>
      <c r="AF334" s="487"/>
      <c r="AG334" s="481"/>
      <c r="AH334" s="203"/>
      <c r="AI334" s="489"/>
      <c r="AJ334" s="489"/>
      <c r="AT334" s="278"/>
      <c r="AU334" s="278"/>
    </row>
    <row r="335" spans="2:47" s="277" customFormat="1" ht="15.6" customHeight="1" x14ac:dyDescent="0.25">
      <c r="B335" s="480"/>
      <c r="C335" s="480"/>
      <c r="D335" s="244"/>
      <c r="E335" s="244"/>
      <c r="F335" s="244"/>
      <c r="G335" s="244"/>
      <c r="H335" s="244"/>
      <c r="I335" s="244"/>
      <c r="J335" s="244"/>
      <c r="K335" s="244"/>
      <c r="L335" s="244"/>
      <c r="M335" s="244"/>
      <c r="N335" s="244"/>
      <c r="O335" s="481"/>
      <c r="P335" s="481"/>
      <c r="Q335" s="481"/>
      <c r="R335" s="379"/>
      <c r="S335" s="380"/>
      <c r="T335" s="482"/>
      <c r="U335" s="379"/>
      <c r="V335" s="483"/>
      <c r="W335" s="379"/>
      <c r="X335" s="379"/>
      <c r="Y335" s="484"/>
      <c r="Z335" s="485"/>
      <c r="AA335" s="244"/>
      <c r="AB335" s="481"/>
      <c r="AC335" s="481"/>
      <c r="AD335" s="486"/>
      <c r="AE335" s="379"/>
      <c r="AF335" s="487"/>
      <c r="AG335" s="481"/>
      <c r="AH335" s="203"/>
      <c r="AI335" s="489"/>
      <c r="AJ335" s="489"/>
      <c r="AT335" s="278"/>
      <c r="AU335" s="278"/>
    </row>
    <row r="336" spans="2:47" s="277" customFormat="1" ht="15.6" customHeight="1" x14ac:dyDescent="0.25">
      <c r="B336" s="480"/>
      <c r="C336" s="480"/>
      <c r="D336" s="244"/>
      <c r="E336" s="244"/>
      <c r="F336" s="244"/>
      <c r="G336" s="244"/>
      <c r="H336" s="244"/>
      <c r="I336" s="244"/>
      <c r="J336" s="244"/>
      <c r="K336" s="244"/>
      <c r="L336" s="244"/>
      <c r="M336" s="244"/>
      <c r="N336" s="244"/>
      <c r="O336" s="481"/>
      <c r="P336" s="481"/>
      <c r="Q336" s="481"/>
      <c r="R336" s="379"/>
      <c r="S336" s="380"/>
      <c r="T336" s="482"/>
      <c r="U336" s="379"/>
      <c r="V336" s="483"/>
      <c r="W336" s="379"/>
      <c r="X336" s="379"/>
      <c r="Y336" s="484"/>
      <c r="Z336" s="485"/>
      <c r="AA336" s="244"/>
      <c r="AB336" s="481"/>
      <c r="AC336" s="481"/>
      <c r="AD336" s="486"/>
      <c r="AE336" s="379"/>
      <c r="AF336" s="487"/>
      <c r="AG336" s="481"/>
      <c r="AH336" s="203"/>
      <c r="AI336" s="489"/>
      <c r="AJ336" s="489"/>
      <c r="AT336" s="278"/>
      <c r="AU336" s="278"/>
    </row>
    <row r="337" spans="2:47" s="277" customFormat="1" ht="15.6" customHeight="1" x14ac:dyDescent="0.25">
      <c r="B337" s="480"/>
      <c r="C337" s="480"/>
      <c r="D337" s="244"/>
      <c r="E337" s="244"/>
      <c r="F337" s="244"/>
      <c r="G337" s="244"/>
      <c r="H337" s="244"/>
      <c r="I337" s="244"/>
      <c r="J337" s="244"/>
      <c r="K337" s="244"/>
      <c r="L337" s="244"/>
      <c r="M337" s="244"/>
      <c r="N337" s="244"/>
      <c r="O337" s="481"/>
      <c r="P337" s="481"/>
      <c r="Q337" s="481"/>
      <c r="R337" s="379"/>
      <c r="S337" s="380"/>
      <c r="T337" s="482"/>
      <c r="U337" s="379"/>
      <c r="V337" s="483"/>
      <c r="W337" s="379"/>
      <c r="X337" s="379"/>
      <c r="Y337" s="484"/>
      <c r="Z337" s="485"/>
      <c r="AA337" s="244"/>
      <c r="AB337" s="481"/>
      <c r="AC337" s="481"/>
      <c r="AD337" s="486"/>
      <c r="AE337" s="379"/>
      <c r="AF337" s="487"/>
      <c r="AG337" s="481"/>
      <c r="AH337" s="203"/>
      <c r="AI337" s="489"/>
      <c r="AJ337" s="489"/>
      <c r="AT337" s="278"/>
      <c r="AU337" s="278"/>
    </row>
    <row r="338" spans="2:47" s="277" customFormat="1" ht="15.6" customHeight="1" x14ac:dyDescent="0.25">
      <c r="B338" s="480"/>
      <c r="C338" s="480"/>
      <c r="D338" s="244"/>
      <c r="E338" s="244"/>
      <c r="F338" s="244"/>
      <c r="G338" s="244"/>
      <c r="H338" s="244"/>
      <c r="I338" s="244"/>
      <c r="J338" s="244"/>
      <c r="K338" s="244"/>
      <c r="L338" s="244"/>
      <c r="M338" s="244"/>
      <c r="N338" s="244"/>
      <c r="O338" s="481"/>
      <c r="P338" s="481"/>
      <c r="Q338" s="481"/>
      <c r="R338" s="379"/>
      <c r="S338" s="380"/>
      <c r="T338" s="482"/>
      <c r="U338" s="379"/>
      <c r="V338" s="483"/>
      <c r="W338" s="379"/>
      <c r="X338" s="379"/>
      <c r="Y338" s="484"/>
      <c r="Z338" s="485"/>
      <c r="AA338" s="244"/>
      <c r="AB338" s="481"/>
      <c r="AC338" s="481"/>
      <c r="AD338" s="486"/>
      <c r="AE338" s="379"/>
      <c r="AF338" s="487"/>
      <c r="AG338" s="481"/>
      <c r="AH338" s="203"/>
      <c r="AI338" s="489"/>
      <c r="AJ338" s="489"/>
      <c r="AT338" s="278"/>
      <c r="AU338" s="278"/>
    </row>
    <row r="339" spans="2:47" s="277" customFormat="1" ht="15.6" customHeight="1" x14ac:dyDescent="0.25">
      <c r="B339" s="480"/>
      <c r="C339" s="480"/>
      <c r="D339" s="244"/>
      <c r="E339" s="244"/>
      <c r="F339" s="244"/>
      <c r="G339" s="244"/>
      <c r="H339" s="244"/>
      <c r="I339" s="244"/>
      <c r="J339" s="244"/>
      <c r="K339" s="244"/>
      <c r="L339" s="244"/>
      <c r="M339" s="244"/>
      <c r="N339" s="244"/>
      <c r="O339" s="481"/>
      <c r="P339" s="481"/>
      <c r="Q339" s="481"/>
      <c r="R339" s="379"/>
      <c r="S339" s="380"/>
      <c r="T339" s="482"/>
      <c r="U339" s="379"/>
      <c r="V339" s="483"/>
      <c r="W339" s="379"/>
      <c r="X339" s="379"/>
      <c r="Y339" s="484"/>
      <c r="Z339" s="485"/>
      <c r="AA339" s="244"/>
      <c r="AB339" s="481"/>
      <c r="AC339" s="481"/>
      <c r="AD339" s="486"/>
      <c r="AE339" s="379"/>
      <c r="AF339" s="487"/>
      <c r="AG339" s="481"/>
      <c r="AH339" s="203"/>
      <c r="AI339" s="489"/>
      <c r="AJ339" s="489"/>
      <c r="AT339" s="278"/>
      <c r="AU339" s="278"/>
    </row>
    <row r="340" spans="2:47" s="277" customFormat="1" ht="15.6" customHeight="1" x14ac:dyDescent="0.25">
      <c r="B340" s="480"/>
      <c r="C340" s="480"/>
      <c r="D340" s="244"/>
      <c r="E340" s="244"/>
      <c r="F340" s="244"/>
      <c r="G340" s="244"/>
      <c r="H340" s="244"/>
      <c r="I340" s="244"/>
      <c r="J340" s="244"/>
      <c r="K340" s="244"/>
      <c r="L340" s="244"/>
      <c r="M340" s="244"/>
      <c r="N340" s="244"/>
      <c r="O340" s="481"/>
      <c r="P340" s="481"/>
      <c r="Q340" s="481"/>
      <c r="R340" s="379"/>
      <c r="S340" s="380"/>
      <c r="T340" s="482"/>
      <c r="U340" s="379"/>
      <c r="V340" s="483"/>
      <c r="W340" s="379"/>
      <c r="X340" s="379"/>
      <c r="Y340" s="484"/>
      <c r="Z340" s="485"/>
      <c r="AA340" s="244"/>
      <c r="AB340" s="481"/>
      <c r="AC340" s="481"/>
      <c r="AD340" s="486"/>
      <c r="AE340" s="379"/>
      <c r="AF340" s="487"/>
      <c r="AG340" s="481"/>
      <c r="AH340" s="203"/>
      <c r="AI340" s="489"/>
      <c r="AJ340" s="489"/>
      <c r="AT340" s="278"/>
      <c r="AU340" s="278"/>
    </row>
    <row r="341" spans="2:47" s="277" customFormat="1" ht="15.6" customHeight="1" x14ac:dyDescent="0.25">
      <c r="B341" s="480"/>
      <c r="C341" s="480"/>
      <c r="D341" s="244"/>
      <c r="E341" s="244"/>
      <c r="F341" s="244"/>
      <c r="G341" s="244"/>
      <c r="H341" s="244"/>
      <c r="I341" s="244"/>
      <c r="J341" s="244"/>
      <c r="K341" s="244"/>
      <c r="L341" s="244"/>
      <c r="M341" s="244"/>
      <c r="N341" s="244"/>
      <c r="O341" s="481"/>
      <c r="P341" s="481"/>
      <c r="Q341" s="481"/>
      <c r="R341" s="379"/>
      <c r="S341" s="380"/>
      <c r="T341" s="482"/>
      <c r="U341" s="379"/>
      <c r="V341" s="483"/>
      <c r="W341" s="379"/>
      <c r="X341" s="379"/>
      <c r="Y341" s="484"/>
      <c r="Z341" s="485"/>
      <c r="AA341" s="244"/>
      <c r="AB341" s="481"/>
      <c r="AC341" s="481"/>
      <c r="AD341" s="486"/>
      <c r="AE341" s="379"/>
      <c r="AF341" s="487"/>
      <c r="AG341" s="481"/>
      <c r="AH341" s="203"/>
      <c r="AI341" s="489"/>
      <c r="AJ341" s="489"/>
      <c r="AT341" s="278"/>
      <c r="AU341" s="278"/>
    </row>
    <row r="342" spans="2:47" s="277" customFormat="1" ht="15.6" customHeight="1" x14ac:dyDescent="0.25">
      <c r="B342" s="480"/>
      <c r="C342" s="480"/>
      <c r="D342" s="244"/>
      <c r="E342" s="244"/>
      <c r="F342" s="244"/>
      <c r="G342" s="244"/>
      <c r="H342" s="244"/>
      <c r="I342" s="244"/>
      <c r="J342" s="244"/>
      <c r="K342" s="244"/>
      <c r="L342" s="244"/>
      <c r="M342" s="244"/>
      <c r="N342" s="244"/>
      <c r="O342" s="481"/>
      <c r="P342" s="481"/>
      <c r="Q342" s="481"/>
      <c r="R342" s="379"/>
      <c r="S342" s="380"/>
      <c r="T342" s="482"/>
      <c r="U342" s="379"/>
      <c r="V342" s="483"/>
      <c r="W342" s="379"/>
      <c r="X342" s="379"/>
      <c r="Y342" s="484"/>
      <c r="Z342" s="485"/>
      <c r="AA342" s="244"/>
      <c r="AB342" s="481"/>
      <c r="AC342" s="481"/>
      <c r="AD342" s="486"/>
      <c r="AE342" s="379"/>
      <c r="AF342" s="487"/>
      <c r="AG342" s="481"/>
      <c r="AH342" s="203"/>
      <c r="AI342" s="489"/>
      <c r="AJ342" s="489"/>
      <c r="AT342" s="278"/>
      <c r="AU342" s="278"/>
    </row>
    <row r="343" spans="2:47" s="277" customFormat="1" ht="15.6" customHeight="1" x14ac:dyDescent="0.25">
      <c r="B343" s="480"/>
      <c r="C343" s="480"/>
      <c r="D343" s="244"/>
      <c r="E343" s="244"/>
      <c r="F343" s="244"/>
      <c r="G343" s="244"/>
      <c r="H343" s="244"/>
      <c r="I343" s="244"/>
      <c r="J343" s="244"/>
      <c r="K343" s="244"/>
      <c r="L343" s="244"/>
      <c r="M343" s="244"/>
      <c r="N343" s="244"/>
      <c r="O343" s="481"/>
      <c r="P343" s="481"/>
      <c r="Q343" s="481"/>
      <c r="R343" s="379"/>
      <c r="S343" s="380"/>
      <c r="T343" s="482"/>
      <c r="U343" s="379"/>
      <c r="V343" s="483"/>
      <c r="W343" s="379"/>
      <c r="X343" s="379"/>
      <c r="Y343" s="484"/>
      <c r="Z343" s="485"/>
      <c r="AA343" s="244"/>
      <c r="AB343" s="481"/>
      <c r="AC343" s="481"/>
      <c r="AD343" s="486"/>
      <c r="AE343" s="379"/>
      <c r="AF343" s="487"/>
      <c r="AG343" s="481"/>
      <c r="AH343" s="203"/>
      <c r="AI343" s="489"/>
      <c r="AJ343" s="489"/>
      <c r="AT343" s="278"/>
      <c r="AU343" s="278"/>
    </row>
    <row r="344" spans="2:47" s="277" customFormat="1" ht="15.6" customHeight="1" x14ac:dyDescent="0.25">
      <c r="B344" s="480"/>
      <c r="C344" s="480"/>
      <c r="D344" s="244"/>
      <c r="E344" s="244"/>
      <c r="F344" s="244"/>
      <c r="G344" s="244"/>
      <c r="H344" s="244"/>
      <c r="I344" s="244"/>
      <c r="J344" s="244"/>
      <c r="K344" s="244"/>
      <c r="L344" s="244"/>
      <c r="M344" s="244"/>
      <c r="N344" s="244"/>
      <c r="O344" s="481"/>
      <c r="P344" s="481"/>
      <c r="Q344" s="481"/>
      <c r="R344" s="379"/>
      <c r="S344" s="380"/>
      <c r="T344" s="482"/>
      <c r="U344" s="379"/>
      <c r="V344" s="483"/>
      <c r="W344" s="379"/>
      <c r="X344" s="379"/>
      <c r="Y344" s="484"/>
      <c r="Z344" s="485"/>
      <c r="AA344" s="244"/>
      <c r="AB344" s="481"/>
      <c r="AC344" s="481"/>
      <c r="AD344" s="486"/>
      <c r="AE344" s="379"/>
      <c r="AF344" s="487"/>
      <c r="AG344" s="481"/>
      <c r="AH344" s="203"/>
      <c r="AI344" s="489"/>
      <c r="AJ344" s="489"/>
      <c r="AT344" s="278"/>
      <c r="AU344" s="278"/>
    </row>
    <row r="345" spans="2:47" s="277" customFormat="1" ht="15.6" customHeight="1" x14ac:dyDescent="0.25">
      <c r="B345" s="480"/>
      <c r="C345" s="480"/>
      <c r="D345" s="244"/>
      <c r="E345" s="244"/>
      <c r="F345" s="244"/>
      <c r="G345" s="244"/>
      <c r="H345" s="244"/>
      <c r="I345" s="244"/>
      <c r="J345" s="244"/>
      <c r="K345" s="244"/>
      <c r="L345" s="244"/>
      <c r="M345" s="244"/>
      <c r="N345" s="244"/>
      <c r="O345" s="481"/>
      <c r="P345" s="481"/>
      <c r="Q345" s="481"/>
      <c r="R345" s="379"/>
      <c r="S345" s="380"/>
      <c r="T345" s="482"/>
      <c r="U345" s="379"/>
      <c r="V345" s="483"/>
      <c r="W345" s="379"/>
      <c r="X345" s="379"/>
      <c r="Y345" s="484"/>
      <c r="Z345" s="485"/>
      <c r="AA345" s="244"/>
      <c r="AB345" s="481"/>
      <c r="AC345" s="481"/>
      <c r="AD345" s="486"/>
      <c r="AE345" s="379"/>
      <c r="AF345" s="487"/>
      <c r="AG345" s="481"/>
      <c r="AH345" s="203"/>
      <c r="AI345" s="489"/>
      <c r="AJ345" s="489"/>
      <c r="AT345" s="278"/>
      <c r="AU345" s="278"/>
    </row>
    <row r="346" spans="2:47" s="277" customFormat="1" ht="15.6" customHeight="1" x14ac:dyDescent="0.25">
      <c r="B346" s="480"/>
      <c r="C346" s="480"/>
      <c r="D346" s="244"/>
      <c r="E346" s="244"/>
      <c r="F346" s="244"/>
      <c r="G346" s="244"/>
      <c r="H346" s="244"/>
      <c r="I346" s="244"/>
      <c r="J346" s="244"/>
      <c r="K346" s="244"/>
      <c r="L346" s="244"/>
      <c r="M346" s="244"/>
      <c r="N346" s="244"/>
      <c r="O346" s="481"/>
      <c r="P346" s="481"/>
      <c r="Q346" s="481"/>
      <c r="R346" s="379"/>
      <c r="S346" s="380"/>
      <c r="T346" s="482"/>
      <c r="U346" s="379"/>
      <c r="V346" s="483"/>
      <c r="W346" s="379"/>
      <c r="X346" s="379"/>
      <c r="Y346" s="484"/>
      <c r="Z346" s="485"/>
      <c r="AA346" s="244"/>
      <c r="AB346" s="481"/>
      <c r="AC346" s="481"/>
      <c r="AD346" s="486"/>
      <c r="AE346" s="379"/>
      <c r="AF346" s="487"/>
      <c r="AG346" s="481"/>
      <c r="AH346" s="203"/>
      <c r="AI346" s="489"/>
      <c r="AJ346" s="489"/>
      <c r="AT346" s="278"/>
      <c r="AU346" s="278"/>
    </row>
    <row r="347" spans="2:47" s="277" customFormat="1" ht="15.6" customHeight="1" x14ac:dyDescent="0.25">
      <c r="B347" s="480"/>
      <c r="C347" s="480"/>
      <c r="D347" s="244"/>
      <c r="E347" s="244"/>
      <c r="F347" s="244"/>
      <c r="G347" s="244"/>
      <c r="H347" s="244"/>
      <c r="I347" s="244"/>
      <c r="J347" s="244"/>
      <c r="K347" s="244"/>
      <c r="L347" s="244"/>
      <c r="M347" s="244"/>
      <c r="N347" s="244"/>
      <c r="O347" s="481"/>
      <c r="P347" s="481"/>
      <c r="Q347" s="481"/>
      <c r="R347" s="379"/>
      <c r="S347" s="380"/>
      <c r="T347" s="482"/>
      <c r="U347" s="379"/>
      <c r="V347" s="483"/>
      <c r="W347" s="379"/>
      <c r="X347" s="379"/>
      <c r="Y347" s="484"/>
      <c r="Z347" s="485"/>
      <c r="AA347" s="244"/>
      <c r="AB347" s="481"/>
      <c r="AC347" s="481"/>
      <c r="AD347" s="486"/>
      <c r="AE347" s="379"/>
      <c r="AF347" s="487"/>
      <c r="AG347" s="481"/>
      <c r="AH347" s="203"/>
      <c r="AI347" s="489"/>
      <c r="AJ347" s="489"/>
      <c r="AT347" s="278"/>
      <c r="AU347" s="278"/>
    </row>
    <row r="348" spans="2:47" s="277" customFormat="1" ht="15.6" customHeight="1" x14ac:dyDescent="0.25">
      <c r="B348" s="480"/>
      <c r="C348" s="480"/>
      <c r="D348" s="244"/>
      <c r="E348" s="244"/>
      <c r="F348" s="244"/>
      <c r="G348" s="244"/>
      <c r="H348" s="244"/>
      <c r="I348" s="244"/>
      <c r="J348" s="244"/>
      <c r="K348" s="244"/>
      <c r="L348" s="244"/>
      <c r="M348" s="244"/>
      <c r="N348" s="244"/>
      <c r="O348" s="481"/>
      <c r="P348" s="481"/>
      <c r="Q348" s="481"/>
      <c r="R348" s="379"/>
      <c r="S348" s="380"/>
      <c r="T348" s="482"/>
      <c r="U348" s="379"/>
      <c r="V348" s="483"/>
      <c r="W348" s="379"/>
      <c r="X348" s="379"/>
      <c r="Y348" s="484"/>
      <c r="Z348" s="485"/>
      <c r="AA348" s="244"/>
      <c r="AB348" s="481"/>
      <c r="AC348" s="481"/>
      <c r="AD348" s="486"/>
      <c r="AE348" s="379"/>
      <c r="AF348" s="487"/>
      <c r="AG348" s="481"/>
      <c r="AH348" s="203"/>
      <c r="AI348" s="489"/>
      <c r="AJ348" s="489"/>
      <c r="AT348" s="278"/>
      <c r="AU348" s="278"/>
    </row>
    <row r="349" spans="2:47" s="277" customFormat="1" ht="15.6" customHeight="1" x14ac:dyDescent="0.25">
      <c r="B349" s="480"/>
      <c r="C349" s="480"/>
      <c r="D349" s="244"/>
      <c r="E349" s="244"/>
      <c r="F349" s="244"/>
      <c r="G349" s="244"/>
      <c r="H349" s="244"/>
      <c r="I349" s="244"/>
      <c r="J349" s="244"/>
      <c r="K349" s="244"/>
      <c r="L349" s="244"/>
      <c r="M349" s="244"/>
      <c r="N349" s="244"/>
      <c r="O349" s="481"/>
      <c r="P349" s="481"/>
      <c r="Q349" s="481"/>
      <c r="R349" s="379"/>
      <c r="S349" s="380"/>
      <c r="T349" s="482"/>
      <c r="U349" s="379"/>
      <c r="V349" s="483"/>
      <c r="W349" s="379"/>
      <c r="X349" s="379"/>
      <c r="Y349" s="484"/>
      <c r="Z349" s="485"/>
      <c r="AA349" s="244"/>
      <c r="AB349" s="481"/>
      <c r="AC349" s="481"/>
      <c r="AD349" s="486"/>
      <c r="AE349" s="379"/>
      <c r="AF349" s="487"/>
      <c r="AG349" s="481"/>
      <c r="AH349" s="203"/>
      <c r="AI349" s="489"/>
      <c r="AJ349" s="489"/>
      <c r="AT349" s="278"/>
      <c r="AU349" s="278"/>
    </row>
    <row r="350" spans="2:47" s="277" customFormat="1" ht="15.6" customHeight="1" x14ac:dyDescent="0.25">
      <c r="B350" s="480"/>
      <c r="C350" s="480"/>
      <c r="D350" s="244"/>
      <c r="E350" s="244"/>
      <c r="F350" s="244"/>
      <c r="G350" s="244"/>
      <c r="H350" s="244"/>
      <c r="I350" s="244"/>
      <c r="J350" s="244"/>
      <c r="K350" s="244"/>
      <c r="L350" s="244"/>
      <c r="M350" s="244"/>
      <c r="N350" s="244"/>
      <c r="O350" s="481"/>
      <c r="P350" s="481"/>
      <c r="Q350" s="481"/>
      <c r="R350" s="379"/>
      <c r="S350" s="380"/>
      <c r="T350" s="482"/>
      <c r="U350" s="379"/>
      <c r="V350" s="483"/>
      <c r="W350" s="379"/>
      <c r="X350" s="379"/>
      <c r="Y350" s="484"/>
      <c r="Z350" s="485"/>
      <c r="AA350" s="244"/>
      <c r="AB350" s="481"/>
      <c r="AC350" s="481"/>
      <c r="AD350" s="486"/>
      <c r="AE350" s="379"/>
      <c r="AF350" s="487"/>
      <c r="AG350" s="481"/>
      <c r="AH350" s="203"/>
      <c r="AI350" s="489"/>
      <c r="AJ350" s="489"/>
      <c r="AT350" s="278"/>
      <c r="AU350" s="278"/>
    </row>
    <row r="351" spans="2:47" s="277" customFormat="1" ht="15.6" customHeight="1" x14ac:dyDescent="0.25">
      <c r="B351" s="480"/>
      <c r="C351" s="480"/>
      <c r="D351" s="244"/>
      <c r="E351" s="244"/>
      <c r="F351" s="244"/>
      <c r="G351" s="244"/>
      <c r="H351" s="244"/>
      <c r="I351" s="244"/>
      <c r="J351" s="244"/>
      <c r="K351" s="244"/>
      <c r="L351" s="244"/>
      <c r="M351" s="244"/>
      <c r="N351" s="244"/>
      <c r="O351" s="481"/>
      <c r="P351" s="481"/>
      <c r="Q351" s="481"/>
      <c r="R351" s="379"/>
      <c r="S351" s="380"/>
      <c r="T351" s="482"/>
      <c r="U351" s="379"/>
      <c r="V351" s="483"/>
      <c r="W351" s="379"/>
      <c r="X351" s="379"/>
      <c r="Y351" s="484"/>
      <c r="Z351" s="485"/>
      <c r="AA351" s="244"/>
      <c r="AB351" s="481"/>
      <c r="AC351" s="481"/>
      <c r="AD351" s="486"/>
      <c r="AE351" s="379"/>
      <c r="AF351" s="487"/>
      <c r="AG351" s="481"/>
      <c r="AH351" s="203"/>
      <c r="AI351" s="489"/>
      <c r="AJ351" s="489"/>
      <c r="AT351" s="278"/>
      <c r="AU351" s="278"/>
    </row>
    <row r="352" spans="2:47" s="277" customFormat="1" ht="15.6" customHeight="1" x14ac:dyDescent="0.25">
      <c r="B352" s="480"/>
      <c r="C352" s="480"/>
      <c r="D352" s="244"/>
      <c r="E352" s="244"/>
      <c r="F352" s="244"/>
      <c r="G352" s="244"/>
      <c r="H352" s="244"/>
      <c r="I352" s="244"/>
      <c r="J352" s="244"/>
      <c r="K352" s="244"/>
      <c r="L352" s="244"/>
      <c r="M352" s="244"/>
      <c r="N352" s="244"/>
      <c r="O352" s="481"/>
      <c r="P352" s="481"/>
      <c r="Q352" s="481"/>
      <c r="R352" s="379"/>
      <c r="S352" s="380"/>
      <c r="T352" s="482"/>
      <c r="U352" s="379"/>
      <c r="V352" s="483"/>
      <c r="W352" s="379"/>
      <c r="X352" s="379"/>
      <c r="Y352" s="484"/>
      <c r="Z352" s="485"/>
      <c r="AA352" s="244"/>
      <c r="AB352" s="481"/>
      <c r="AC352" s="481"/>
      <c r="AD352" s="486"/>
      <c r="AE352" s="379"/>
      <c r="AF352" s="487"/>
      <c r="AG352" s="481"/>
      <c r="AH352" s="203"/>
      <c r="AI352" s="489"/>
      <c r="AJ352" s="489"/>
      <c r="AT352" s="278"/>
      <c r="AU352" s="278"/>
    </row>
    <row r="353" spans="2:47" s="277" customFormat="1" ht="15.6" customHeight="1" x14ac:dyDescent="0.25">
      <c r="B353" s="480"/>
      <c r="C353" s="480"/>
      <c r="D353" s="244"/>
      <c r="E353" s="244"/>
      <c r="F353" s="244"/>
      <c r="G353" s="244"/>
      <c r="H353" s="244"/>
      <c r="I353" s="244"/>
      <c r="J353" s="244"/>
      <c r="K353" s="244"/>
      <c r="L353" s="244"/>
      <c r="M353" s="244"/>
      <c r="N353" s="244"/>
      <c r="O353" s="481"/>
      <c r="P353" s="481"/>
      <c r="Q353" s="481"/>
      <c r="R353" s="379"/>
      <c r="S353" s="380"/>
      <c r="T353" s="482"/>
      <c r="U353" s="379"/>
      <c r="V353" s="483"/>
      <c r="W353" s="379"/>
      <c r="X353" s="379"/>
      <c r="Y353" s="484"/>
      <c r="Z353" s="485"/>
      <c r="AA353" s="244"/>
      <c r="AB353" s="481"/>
      <c r="AC353" s="481"/>
      <c r="AD353" s="486"/>
      <c r="AE353" s="379"/>
      <c r="AF353" s="487"/>
      <c r="AG353" s="481"/>
      <c r="AH353" s="203"/>
      <c r="AI353" s="489"/>
      <c r="AJ353" s="489"/>
      <c r="AT353" s="278"/>
      <c r="AU353" s="278"/>
    </row>
    <row r="354" spans="2:47" s="277" customFormat="1" ht="15.6" customHeight="1" x14ac:dyDescent="0.25">
      <c r="B354" s="480"/>
      <c r="C354" s="480"/>
      <c r="D354" s="244"/>
      <c r="E354" s="244"/>
      <c r="F354" s="244"/>
      <c r="G354" s="244"/>
      <c r="H354" s="244"/>
      <c r="I354" s="244"/>
      <c r="J354" s="244"/>
      <c r="K354" s="244"/>
      <c r="L354" s="244"/>
      <c r="M354" s="244"/>
      <c r="N354" s="244"/>
      <c r="O354" s="481"/>
      <c r="P354" s="481"/>
      <c r="Q354" s="481"/>
      <c r="R354" s="379"/>
      <c r="S354" s="380"/>
      <c r="T354" s="482"/>
      <c r="U354" s="379"/>
      <c r="V354" s="483"/>
      <c r="W354" s="379"/>
      <c r="X354" s="379"/>
      <c r="Y354" s="484"/>
      <c r="Z354" s="485"/>
      <c r="AA354" s="244"/>
      <c r="AB354" s="481"/>
      <c r="AC354" s="481"/>
      <c r="AD354" s="486"/>
      <c r="AE354" s="379"/>
      <c r="AF354" s="487"/>
      <c r="AG354" s="481"/>
      <c r="AH354" s="203"/>
      <c r="AI354" s="489"/>
      <c r="AJ354" s="489"/>
      <c r="AT354" s="278"/>
      <c r="AU354" s="278"/>
    </row>
    <row r="355" spans="2:47" s="277" customFormat="1" ht="15.6" customHeight="1" x14ac:dyDescent="0.25">
      <c r="B355" s="480"/>
      <c r="C355" s="480"/>
      <c r="D355" s="244"/>
      <c r="E355" s="244"/>
      <c r="F355" s="244"/>
      <c r="G355" s="244"/>
      <c r="H355" s="244"/>
      <c r="I355" s="244"/>
      <c r="J355" s="244"/>
      <c r="K355" s="244"/>
      <c r="L355" s="244"/>
      <c r="M355" s="244"/>
      <c r="N355" s="244"/>
      <c r="O355" s="481"/>
      <c r="P355" s="481"/>
      <c r="Q355" s="481"/>
      <c r="R355" s="379"/>
      <c r="S355" s="380"/>
      <c r="T355" s="482"/>
      <c r="U355" s="379"/>
      <c r="V355" s="483"/>
      <c r="W355" s="379"/>
      <c r="X355" s="379"/>
      <c r="Y355" s="484"/>
      <c r="Z355" s="485"/>
      <c r="AA355" s="244"/>
      <c r="AB355" s="481"/>
      <c r="AC355" s="481"/>
      <c r="AD355" s="486"/>
      <c r="AE355" s="379"/>
      <c r="AF355" s="487"/>
      <c r="AG355" s="481"/>
      <c r="AH355" s="203"/>
      <c r="AI355" s="489"/>
      <c r="AJ355" s="489"/>
      <c r="AT355" s="278"/>
      <c r="AU355" s="278"/>
    </row>
    <row r="356" spans="2:47" s="277" customFormat="1" ht="15.6" customHeight="1" x14ac:dyDescent="0.25">
      <c r="B356" s="480"/>
      <c r="C356" s="480"/>
      <c r="D356" s="244"/>
      <c r="E356" s="244"/>
      <c r="F356" s="244"/>
      <c r="G356" s="244"/>
      <c r="H356" s="244"/>
      <c r="I356" s="244"/>
      <c r="J356" s="244"/>
      <c r="K356" s="244"/>
      <c r="L356" s="244"/>
      <c r="M356" s="244"/>
      <c r="N356" s="244"/>
      <c r="O356" s="481"/>
      <c r="P356" s="481"/>
      <c r="Q356" s="481"/>
      <c r="R356" s="379"/>
      <c r="S356" s="380"/>
      <c r="T356" s="482"/>
      <c r="U356" s="379"/>
      <c r="V356" s="483"/>
      <c r="W356" s="379"/>
      <c r="X356" s="379"/>
      <c r="Y356" s="484"/>
      <c r="Z356" s="485"/>
      <c r="AA356" s="244"/>
      <c r="AB356" s="481"/>
      <c r="AC356" s="481"/>
      <c r="AD356" s="486"/>
      <c r="AE356" s="379"/>
      <c r="AF356" s="487"/>
      <c r="AG356" s="481"/>
      <c r="AH356" s="203"/>
      <c r="AI356" s="489"/>
      <c r="AJ356" s="489"/>
      <c r="AT356" s="278"/>
      <c r="AU356" s="278"/>
    </row>
    <row r="357" spans="2:47" s="277" customFormat="1" ht="15.6" customHeight="1" x14ac:dyDescent="0.25">
      <c r="B357" s="480"/>
      <c r="C357" s="480"/>
      <c r="D357" s="244"/>
      <c r="E357" s="244"/>
      <c r="F357" s="244"/>
      <c r="G357" s="244"/>
      <c r="H357" s="244"/>
      <c r="I357" s="244"/>
      <c r="J357" s="244"/>
      <c r="K357" s="244"/>
      <c r="L357" s="244"/>
      <c r="M357" s="244"/>
      <c r="N357" s="244"/>
      <c r="O357" s="481"/>
      <c r="P357" s="481"/>
      <c r="Q357" s="481"/>
      <c r="R357" s="379"/>
      <c r="S357" s="380"/>
      <c r="T357" s="482"/>
      <c r="U357" s="379"/>
      <c r="V357" s="483"/>
      <c r="W357" s="379"/>
      <c r="X357" s="379"/>
      <c r="Y357" s="484"/>
      <c r="Z357" s="485"/>
      <c r="AA357" s="244"/>
      <c r="AB357" s="481"/>
      <c r="AC357" s="481"/>
      <c r="AD357" s="486"/>
      <c r="AE357" s="379"/>
      <c r="AF357" s="487"/>
      <c r="AG357" s="481"/>
      <c r="AH357" s="203"/>
      <c r="AI357" s="489"/>
      <c r="AJ357" s="489"/>
      <c r="AT357" s="278"/>
      <c r="AU357" s="278"/>
    </row>
    <row r="358" spans="2:47" s="277" customFormat="1" ht="15.6" customHeight="1" x14ac:dyDescent="0.25">
      <c r="B358" s="480"/>
      <c r="C358" s="480"/>
      <c r="D358" s="244"/>
      <c r="E358" s="244"/>
      <c r="F358" s="244"/>
      <c r="G358" s="244"/>
      <c r="H358" s="244"/>
      <c r="I358" s="244"/>
      <c r="J358" s="244"/>
      <c r="K358" s="244"/>
      <c r="L358" s="244"/>
      <c r="M358" s="244"/>
      <c r="N358" s="244"/>
      <c r="O358" s="481"/>
      <c r="P358" s="481"/>
      <c r="Q358" s="481"/>
      <c r="R358" s="379"/>
      <c r="S358" s="380"/>
      <c r="T358" s="482"/>
      <c r="U358" s="379"/>
      <c r="V358" s="483"/>
      <c r="W358" s="379"/>
      <c r="X358" s="379"/>
      <c r="Y358" s="484"/>
      <c r="Z358" s="485"/>
      <c r="AA358" s="244"/>
      <c r="AB358" s="481"/>
      <c r="AC358" s="481"/>
      <c r="AD358" s="486"/>
      <c r="AE358" s="379"/>
      <c r="AF358" s="487"/>
      <c r="AG358" s="481"/>
      <c r="AH358" s="203"/>
      <c r="AI358" s="489"/>
      <c r="AJ358" s="489"/>
      <c r="AT358" s="278"/>
      <c r="AU358" s="278"/>
    </row>
    <row r="359" spans="2:47" s="277" customFormat="1" ht="15.6" customHeight="1" x14ac:dyDescent="0.25">
      <c r="B359" s="480"/>
      <c r="C359" s="480"/>
      <c r="D359" s="244"/>
      <c r="E359" s="244"/>
      <c r="F359" s="244"/>
      <c r="G359" s="244"/>
      <c r="H359" s="244"/>
      <c r="I359" s="244"/>
      <c r="J359" s="244"/>
      <c r="K359" s="244"/>
      <c r="L359" s="244"/>
      <c r="M359" s="244"/>
      <c r="N359" s="244"/>
      <c r="O359" s="481"/>
      <c r="P359" s="481"/>
      <c r="Q359" s="481"/>
      <c r="R359" s="379"/>
      <c r="S359" s="380"/>
      <c r="T359" s="482"/>
      <c r="U359" s="379"/>
      <c r="V359" s="483"/>
      <c r="W359" s="379"/>
      <c r="X359" s="379"/>
      <c r="Y359" s="484"/>
      <c r="Z359" s="485"/>
      <c r="AA359" s="244"/>
      <c r="AB359" s="481"/>
      <c r="AC359" s="481"/>
      <c r="AD359" s="486"/>
      <c r="AE359" s="379"/>
      <c r="AF359" s="487"/>
      <c r="AG359" s="481"/>
      <c r="AH359" s="203"/>
      <c r="AI359" s="489"/>
      <c r="AJ359" s="489"/>
      <c r="AT359" s="278"/>
      <c r="AU359" s="278"/>
    </row>
    <row r="360" spans="2:47" s="277" customFormat="1" ht="15.6" customHeight="1" x14ac:dyDescent="0.25">
      <c r="B360" s="480"/>
      <c r="C360" s="480"/>
      <c r="D360" s="244"/>
      <c r="E360" s="244"/>
      <c r="F360" s="244"/>
      <c r="G360" s="244"/>
      <c r="H360" s="244"/>
      <c r="I360" s="244"/>
      <c r="J360" s="244"/>
      <c r="K360" s="244"/>
      <c r="L360" s="244"/>
      <c r="M360" s="244"/>
      <c r="N360" s="244"/>
      <c r="O360" s="481"/>
      <c r="P360" s="481"/>
      <c r="Q360" s="481"/>
      <c r="R360" s="379"/>
      <c r="S360" s="380"/>
      <c r="T360" s="482"/>
      <c r="U360" s="379"/>
      <c r="V360" s="483"/>
      <c r="W360" s="379"/>
      <c r="X360" s="379"/>
      <c r="Y360" s="484"/>
      <c r="Z360" s="485"/>
      <c r="AA360" s="244"/>
      <c r="AB360" s="481"/>
      <c r="AC360" s="481"/>
      <c r="AD360" s="486"/>
      <c r="AE360" s="379"/>
      <c r="AF360" s="487"/>
      <c r="AG360" s="481"/>
      <c r="AH360" s="203"/>
      <c r="AI360" s="489"/>
      <c r="AJ360" s="489"/>
      <c r="AT360" s="278"/>
      <c r="AU360" s="278"/>
    </row>
    <row r="361" spans="2:47" s="277" customFormat="1" ht="15.6" customHeight="1" x14ac:dyDescent="0.25">
      <c r="B361" s="480"/>
      <c r="C361" s="480"/>
      <c r="D361" s="244"/>
      <c r="E361" s="244"/>
      <c r="F361" s="244"/>
      <c r="G361" s="244"/>
      <c r="H361" s="244"/>
      <c r="I361" s="244"/>
      <c r="J361" s="244"/>
      <c r="K361" s="244"/>
      <c r="L361" s="244"/>
      <c r="M361" s="244"/>
      <c r="N361" s="244"/>
      <c r="O361" s="481"/>
      <c r="P361" s="481"/>
      <c r="Q361" s="481"/>
      <c r="R361" s="379"/>
      <c r="S361" s="380"/>
      <c r="T361" s="482"/>
      <c r="U361" s="379"/>
      <c r="V361" s="483"/>
      <c r="W361" s="379"/>
      <c r="X361" s="379"/>
      <c r="Y361" s="484"/>
      <c r="Z361" s="485"/>
      <c r="AA361" s="244"/>
      <c r="AB361" s="481"/>
      <c r="AC361" s="481"/>
      <c r="AD361" s="486"/>
      <c r="AE361" s="379"/>
      <c r="AF361" s="487"/>
      <c r="AG361" s="481"/>
      <c r="AH361" s="203"/>
      <c r="AI361" s="489"/>
      <c r="AJ361" s="489"/>
      <c r="AT361" s="278"/>
      <c r="AU361" s="278"/>
    </row>
    <row r="362" spans="2:47" s="277" customFormat="1" ht="15.6" customHeight="1" x14ac:dyDescent="0.25">
      <c r="B362" s="480"/>
      <c r="C362" s="480"/>
      <c r="D362" s="244"/>
      <c r="E362" s="244"/>
      <c r="F362" s="244"/>
      <c r="G362" s="244"/>
      <c r="H362" s="244"/>
      <c r="I362" s="244"/>
      <c r="J362" s="244"/>
      <c r="K362" s="244"/>
      <c r="L362" s="244"/>
      <c r="M362" s="244"/>
      <c r="N362" s="244"/>
      <c r="O362" s="481"/>
      <c r="P362" s="481"/>
      <c r="Q362" s="481"/>
      <c r="R362" s="379"/>
      <c r="S362" s="380"/>
      <c r="T362" s="482"/>
      <c r="U362" s="379"/>
      <c r="V362" s="483"/>
      <c r="W362" s="379"/>
      <c r="X362" s="379"/>
      <c r="Y362" s="484"/>
      <c r="Z362" s="485"/>
      <c r="AA362" s="244"/>
      <c r="AB362" s="481"/>
      <c r="AC362" s="481"/>
      <c r="AD362" s="486"/>
      <c r="AE362" s="379"/>
      <c r="AF362" s="487"/>
      <c r="AG362" s="481"/>
      <c r="AH362" s="203"/>
      <c r="AI362" s="489"/>
      <c r="AJ362" s="489"/>
      <c r="AT362" s="278"/>
      <c r="AU362" s="278"/>
    </row>
    <row r="363" spans="2:47" s="277" customFormat="1" ht="15.6" customHeight="1" x14ac:dyDescent="0.25">
      <c r="B363" s="480"/>
      <c r="C363" s="480"/>
      <c r="D363" s="244"/>
      <c r="E363" s="244"/>
      <c r="F363" s="244"/>
      <c r="G363" s="244"/>
      <c r="H363" s="244"/>
      <c r="I363" s="244"/>
      <c r="J363" s="244"/>
      <c r="K363" s="244"/>
      <c r="L363" s="244"/>
      <c r="M363" s="244"/>
      <c r="N363" s="244"/>
      <c r="O363" s="481"/>
      <c r="P363" s="481"/>
      <c r="Q363" s="481"/>
      <c r="R363" s="379"/>
      <c r="S363" s="380"/>
      <c r="T363" s="482"/>
      <c r="U363" s="379"/>
      <c r="V363" s="483"/>
      <c r="W363" s="379"/>
      <c r="X363" s="379"/>
      <c r="Y363" s="484"/>
      <c r="Z363" s="485"/>
      <c r="AA363" s="244"/>
      <c r="AB363" s="481"/>
      <c r="AC363" s="481"/>
      <c r="AD363" s="486"/>
      <c r="AE363" s="379"/>
      <c r="AF363" s="487"/>
      <c r="AG363" s="481"/>
      <c r="AH363" s="203"/>
      <c r="AI363" s="489"/>
      <c r="AJ363" s="489"/>
      <c r="AT363" s="278"/>
      <c r="AU363" s="278"/>
    </row>
    <row r="364" spans="2:47" s="277" customFormat="1" ht="15.6" customHeight="1" x14ac:dyDescent="0.25">
      <c r="B364" s="480"/>
      <c r="C364" s="480"/>
      <c r="D364" s="244"/>
      <c r="E364" s="244"/>
      <c r="F364" s="244"/>
      <c r="G364" s="244"/>
      <c r="H364" s="244"/>
      <c r="I364" s="244"/>
      <c r="J364" s="244"/>
      <c r="K364" s="244"/>
      <c r="L364" s="244"/>
      <c r="M364" s="244"/>
      <c r="N364" s="244"/>
      <c r="O364" s="481"/>
      <c r="P364" s="481"/>
      <c r="Q364" s="481"/>
      <c r="R364" s="379"/>
      <c r="S364" s="380"/>
      <c r="T364" s="482"/>
      <c r="U364" s="379"/>
      <c r="V364" s="483"/>
      <c r="W364" s="379"/>
      <c r="X364" s="379"/>
      <c r="Y364" s="484"/>
      <c r="Z364" s="485"/>
      <c r="AA364" s="244"/>
      <c r="AB364" s="481"/>
      <c r="AC364" s="481"/>
      <c r="AD364" s="486"/>
      <c r="AE364" s="379"/>
      <c r="AF364" s="487"/>
      <c r="AG364" s="481"/>
      <c r="AH364" s="203"/>
      <c r="AI364" s="489"/>
      <c r="AJ364" s="489"/>
      <c r="AT364" s="278"/>
      <c r="AU364" s="278"/>
    </row>
    <row r="365" spans="2:47" s="277" customFormat="1" ht="15.6" customHeight="1" x14ac:dyDescent="0.25">
      <c r="B365" s="480"/>
      <c r="C365" s="480"/>
      <c r="D365" s="244"/>
      <c r="E365" s="244"/>
      <c r="F365" s="244"/>
      <c r="G365" s="244"/>
      <c r="H365" s="244"/>
      <c r="I365" s="244"/>
      <c r="J365" s="244"/>
      <c r="K365" s="244"/>
      <c r="L365" s="244"/>
      <c r="M365" s="244"/>
      <c r="N365" s="244"/>
      <c r="O365" s="481"/>
      <c r="P365" s="481"/>
      <c r="Q365" s="481"/>
      <c r="R365" s="379"/>
      <c r="S365" s="380"/>
      <c r="T365" s="482"/>
      <c r="U365" s="379"/>
      <c r="V365" s="483"/>
      <c r="W365" s="379"/>
      <c r="X365" s="379"/>
      <c r="Y365" s="484"/>
      <c r="Z365" s="485"/>
      <c r="AA365" s="244"/>
      <c r="AB365" s="481"/>
      <c r="AC365" s="481"/>
      <c r="AD365" s="486"/>
      <c r="AE365" s="379"/>
      <c r="AF365" s="487"/>
      <c r="AG365" s="481"/>
      <c r="AH365" s="203"/>
      <c r="AI365" s="489"/>
      <c r="AJ365" s="489"/>
      <c r="AT365" s="278"/>
      <c r="AU365" s="278"/>
    </row>
    <row r="366" spans="2:47" s="277" customFormat="1" ht="15.6" customHeight="1" x14ac:dyDescent="0.25">
      <c r="B366" s="480"/>
      <c r="C366" s="480"/>
      <c r="D366" s="244"/>
      <c r="E366" s="244"/>
      <c r="F366" s="244"/>
      <c r="G366" s="244"/>
      <c r="H366" s="244"/>
      <c r="I366" s="244"/>
      <c r="J366" s="244"/>
      <c r="K366" s="244"/>
      <c r="L366" s="244"/>
      <c r="M366" s="244"/>
      <c r="N366" s="244"/>
      <c r="O366" s="481"/>
      <c r="P366" s="481"/>
      <c r="Q366" s="481"/>
      <c r="R366" s="379"/>
      <c r="S366" s="380"/>
      <c r="T366" s="482"/>
      <c r="U366" s="379"/>
      <c r="V366" s="483"/>
      <c r="W366" s="379"/>
      <c r="X366" s="379"/>
      <c r="Y366" s="484"/>
      <c r="Z366" s="485"/>
      <c r="AA366" s="244"/>
      <c r="AB366" s="481"/>
      <c r="AC366" s="481"/>
      <c r="AD366" s="486"/>
      <c r="AE366" s="379"/>
      <c r="AF366" s="487"/>
      <c r="AG366" s="481"/>
      <c r="AH366" s="203"/>
      <c r="AI366" s="489"/>
      <c r="AJ366" s="489"/>
      <c r="AT366" s="278"/>
      <c r="AU366" s="278"/>
    </row>
    <row r="367" spans="2:47" s="277" customFormat="1" ht="15.6" customHeight="1" x14ac:dyDescent="0.25">
      <c r="B367" s="480"/>
      <c r="C367" s="480"/>
      <c r="D367" s="244"/>
      <c r="E367" s="244"/>
      <c r="F367" s="244"/>
      <c r="G367" s="244"/>
      <c r="H367" s="244"/>
      <c r="I367" s="244"/>
      <c r="J367" s="244"/>
      <c r="K367" s="244"/>
      <c r="L367" s="244"/>
      <c r="M367" s="244"/>
      <c r="N367" s="244"/>
      <c r="O367" s="481"/>
      <c r="P367" s="481"/>
      <c r="Q367" s="481"/>
      <c r="R367" s="379"/>
      <c r="S367" s="380"/>
      <c r="T367" s="482"/>
      <c r="U367" s="379"/>
      <c r="V367" s="483"/>
      <c r="W367" s="379"/>
      <c r="X367" s="379"/>
      <c r="Y367" s="484"/>
      <c r="Z367" s="485"/>
      <c r="AA367" s="244"/>
      <c r="AB367" s="481"/>
      <c r="AC367" s="481"/>
      <c r="AD367" s="486"/>
      <c r="AE367" s="379"/>
      <c r="AF367" s="487"/>
      <c r="AG367" s="481"/>
      <c r="AH367" s="203"/>
      <c r="AI367" s="489"/>
      <c r="AJ367" s="489"/>
      <c r="AT367" s="278"/>
      <c r="AU367" s="278"/>
    </row>
    <row r="368" spans="2:47" s="277" customFormat="1" ht="15.6" customHeight="1" x14ac:dyDescent="0.25">
      <c r="B368" s="480"/>
      <c r="C368" s="480"/>
      <c r="D368" s="244"/>
      <c r="E368" s="244"/>
      <c r="F368" s="244"/>
      <c r="G368" s="244"/>
      <c r="H368" s="244"/>
      <c r="I368" s="244"/>
      <c r="J368" s="244"/>
      <c r="K368" s="244"/>
      <c r="L368" s="244"/>
      <c r="M368" s="244"/>
      <c r="N368" s="244"/>
      <c r="O368" s="481"/>
      <c r="P368" s="481"/>
      <c r="Q368" s="481"/>
      <c r="R368" s="379"/>
      <c r="S368" s="380"/>
      <c r="T368" s="482"/>
      <c r="U368" s="379"/>
      <c r="V368" s="483"/>
      <c r="W368" s="379"/>
      <c r="X368" s="379"/>
      <c r="Y368" s="484"/>
      <c r="Z368" s="485"/>
      <c r="AA368" s="244"/>
      <c r="AB368" s="481"/>
      <c r="AC368" s="481"/>
      <c r="AD368" s="486"/>
      <c r="AE368" s="379"/>
      <c r="AF368" s="487"/>
      <c r="AG368" s="481"/>
      <c r="AH368" s="203"/>
      <c r="AI368" s="489"/>
      <c r="AJ368" s="489"/>
      <c r="AT368" s="278"/>
      <c r="AU368" s="278"/>
    </row>
    <row r="369" spans="2:47" s="277" customFormat="1" ht="15.6" customHeight="1" x14ac:dyDescent="0.25">
      <c r="B369" s="480"/>
      <c r="C369" s="480"/>
      <c r="D369" s="244"/>
      <c r="E369" s="244"/>
      <c r="F369" s="244"/>
      <c r="G369" s="244"/>
      <c r="H369" s="244"/>
      <c r="I369" s="244"/>
      <c r="J369" s="244"/>
      <c r="K369" s="244"/>
      <c r="L369" s="244"/>
      <c r="M369" s="244"/>
      <c r="N369" s="244"/>
      <c r="O369" s="481"/>
      <c r="P369" s="481"/>
      <c r="Q369" s="481"/>
      <c r="R369" s="379"/>
      <c r="S369" s="380"/>
      <c r="T369" s="482"/>
      <c r="U369" s="379"/>
      <c r="V369" s="483"/>
      <c r="W369" s="379"/>
      <c r="X369" s="379"/>
      <c r="Y369" s="484"/>
      <c r="Z369" s="485"/>
      <c r="AA369" s="244"/>
      <c r="AB369" s="481"/>
      <c r="AC369" s="481"/>
      <c r="AD369" s="486"/>
      <c r="AE369" s="379"/>
      <c r="AF369" s="487"/>
      <c r="AG369" s="481"/>
      <c r="AH369" s="203"/>
      <c r="AI369" s="489"/>
      <c r="AJ369" s="489"/>
      <c r="AT369" s="278"/>
      <c r="AU369" s="278"/>
    </row>
    <row r="370" spans="2:47" s="277" customFormat="1" ht="15.6" customHeight="1" x14ac:dyDescent="0.25">
      <c r="B370" s="480"/>
      <c r="C370" s="480"/>
      <c r="D370" s="244"/>
      <c r="E370" s="244"/>
      <c r="F370" s="244"/>
      <c r="G370" s="244"/>
      <c r="H370" s="244"/>
      <c r="I370" s="244"/>
      <c r="J370" s="244"/>
      <c r="K370" s="244"/>
      <c r="L370" s="244"/>
      <c r="M370" s="244"/>
      <c r="N370" s="244"/>
      <c r="O370" s="481"/>
      <c r="P370" s="481"/>
      <c r="Q370" s="481"/>
      <c r="R370" s="379"/>
      <c r="S370" s="380"/>
      <c r="T370" s="482"/>
      <c r="U370" s="379"/>
      <c r="V370" s="483"/>
      <c r="W370" s="379"/>
      <c r="X370" s="379"/>
      <c r="Y370" s="484"/>
      <c r="Z370" s="485"/>
      <c r="AA370" s="244"/>
      <c r="AB370" s="481"/>
      <c r="AC370" s="481"/>
      <c r="AD370" s="486"/>
      <c r="AE370" s="379"/>
      <c r="AF370" s="487"/>
      <c r="AG370" s="481"/>
      <c r="AH370" s="203"/>
      <c r="AI370" s="489"/>
      <c r="AJ370" s="489"/>
      <c r="AT370" s="278"/>
      <c r="AU370" s="278"/>
    </row>
    <row r="371" spans="2:47" s="277" customFormat="1" ht="15.6" customHeight="1" x14ac:dyDescent="0.25">
      <c r="B371" s="480"/>
      <c r="C371" s="480"/>
      <c r="D371" s="244"/>
      <c r="E371" s="244"/>
      <c r="F371" s="244"/>
      <c r="G371" s="244"/>
      <c r="H371" s="244"/>
      <c r="I371" s="244"/>
      <c r="J371" s="244"/>
      <c r="K371" s="244"/>
      <c r="L371" s="244"/>
      <c r="M371" s="244"/>
      <c r="N371" s="244"/>
      <c r="O371" s="481"/>
      <c r="P371" s="481"/>
      <c r="Q371" s="481"/>
      <c r="R371" s="379"/>
      <c r="S371" s="380"/>
      <c r="T371" s="482"/>
      <c r="U371" s="379"/>
      <c r="V371" s="483"/>
      <c r="W371" s="379"/>
      <c r="X371" s="379"/>
      <c r="Y371" s="484"/>
      <c r="Z371" s="485"/>
      <c r="AA371" s="244"/>
      <c r="AB371" s="481"/>
      <c r="AC371" s="481"/>
      <c r="AD371" s="486"/>
      <c r="AE371" s="379"/>
      <c r="AF371" s="487"/>
      <c r="AG371" s="481"/>
      <c r="AH371" s="203"/>
      <c r="AI371" s="489"/>
      <c r="AJ371" s="489"/>
      <c r="AT371" s="278"/>
      <c r="AU371" s="278"/>
    </row>
    <row r="372" spans="2:47" s="277" customFormat="1" ht="15.6" customHeight="1" x14ac:dyDescent="0.25">
      <c r="B372" s="480"/>
      <c r="C372" s="480"/>
      <c r="D372" s="244"/>
      <c r="E372" s="244"/>
      <c r="F372" s="244"/>
      <c r="G372" s="244"/>
      <c r="H372" s="244"/>
      <c r="I372" s="244"/>
      <c r="J372" s="244"/>
      <c r="K372" s="244"/>
      <c r="L372" s="244"/>
      <c r="M372" s="244"/>
      <c r="N372" s="244"/>
      <c r="O372" s="481"/>
      <c r="P372" s="481"/>
      <c r="Q372" s="481"/>
      <c r="R372" s="379"/>
      <c r="S372" s="380"/>
      <c r="T372" s="482"/>
      <c r="U372" s="379"/>
      <c r="V372" s="483"/>
      <c r="W372" s="379"/>
      <c r="X372" s="379"/>
      <c r="Y372" s="484"/>
      <c r="Z372" s="485"/>
      <c r="AA372" s="244"/>
      <c r="AB372" s="481"/>
      <c r="AC372" s="481"/>
      <c r="AD372" s="486"/>
      <c r="AE372" s="379"/>
      <c r="AF372" s="487"/>
      <c r="AG372" s="481"/>
      <c r="AH372" s="203"/>
      <c r="AI372" s="489"/>
      <c r="AJ372" s="489"/>
      <c r="AT372" s="278"/>
      <c r="AU372" s="278"/>
    </row>
    <row r="373" spans="2:47" s="277" customFormat="1" ht="15.6" customHeight="1" x14ac:dyDescent="0.25">
      <c r="B373" s="480"/>
      <c r="C373" s="480"/>
      <c r="D373" s="244"/>
      <c r="E373" s="244"/>
      <c r="F373" s="244"/>
      <c r="G373" s="244"/>
      <c r="H373" s="244"/>
      <c r="I373" s="244"/>
      <c r="J373" s="244"/>
      <c r="K373" s="244"/>
      <c r="L373" s="244"/>
      <c r="M373" s="244"/>
      <c r="N373" s="244"/>
      <c r="O373" s="481"/>
      <c r="P373" s="481"/>
      <c r="Q373" s="481"/>
      <c r="R373" s="379"/>
      <c r="S373" s="380"/>
      <c r="T373" s="482"/>
      <c r="U373" s="379"/>
      <c r="V373" s="483"/>
      <c r="W373" s="379"/>
      <c r="X373" s="379"/>
      <c r="Y373" s="484"/>
      <c r="Z373" s="485"/>
      <c r="AA373" s="244"/>
      <c r="AB373" s="481"/>
      <c r="AC373" s="481"/>
      <c r="AD373" s="486"/>
      <c r="AE373" s="379"/>
      <c r="AF373" s="487"/>
      <c r="AG373" s="481"/>
      <c r="AH373" s="203"/>
      <c r="AI373" s="489"/>
      <c r="AJ373" s="489"/>
      <c r="AT373" s="278"/>
      <c r="AU373" s="278"/>
    </row>
    <row r="374" spans="2:47" s="277" customFormat="1" ht="15.6" customHeight="1" x14ac:dyDescent="0.25">
      <c r="B374" s="480"/>
      <c r="C374" s="480"/>
      <c r="D374" s="244"/>
      <c r="E374" s="244"/>
      <c r="F374" s="244"/>
      <c r="G374" s="244"/>
      <c r="H374" s="244"/>
      <c r="I374" s="244"/>
      <c r="J374" s="244"/>
      <c r="K374" s="244"/>
      <c r="L374" s="244"/>
      <c r="M374" s="244"/>
      <c r="N374" s="244"/>
      <c r="O374" s="481"/>
      <c r="P374" s="481"/>
      <c r="Q374" s="481"/>
      <c r="R374" s="379"/>
      <c r="S374" s="380"/>
      <c r="T374" s="482"/>
      <c r="U374" s="379"/>
      <c r="V374" s="483"/>
      <c r="W374" s="379"/>
      <c r="X374" s="379"/>
      <c r="Y374" s="484"/>
      <c r="Z374" s="485"/>
      <c r="AA374" s="244"/>
      <c r="AB374" s="481"/>
      <c r="AC374" s="481"/>
      <c r="AD374" s="486"/>
      <c r="AE374" s="379"/>
      <c r="AF374" s="487"/>
      <c r="AG374" s="481"/>
      <c r="AH374" s="203"/>
      <c r="AI374" s="489"/>
      <c r="AJ374" s="489"/>
      <c r="AT374" s="278"/>
      <c r="AU374" s="278"/>
    </row>
    <row r="375" spans="2:47" s="277" customFormat="1" ht="15.6" customHeight="1" x14ac:dyDescent="0.25">
      <c r="B375" s="480"/>
      <c r="C375" s="480"/>
      <c r="D375" s="244"/>
      <c r="E375" s="244"/>
      <c r="F375" s="244"/>
      <c r="G375" s="244"/>
      <c r="H375" s="244"/>
      <c r="I375" s="244"/>
      <c r="J375" s="244"/>
      <c r="K375" s="244"/>
      <c r="L375" s="244"/>
      <c r="M375" s="244"/>
      <c r="N375" s="244"/>
      <c r="O375" s="481"/>
      <c r="P375" s="481"/>
      <c r="Q375" s="481"/>
      <c r="R375" s="379"/>
      <c r="S375" s="380"/>
      <c r="T375" s="482"/>
      <c r="U375" s="379"/>
      <c r="V375" s="483"/>
      <c r="W375" s="379"/>
      <c r="X375" s="379"/>
      <c r="Y375" s="484"/>
      <c r="Z375" s="485"/>
      <c r="AA375" s="244"/>
      <c r="AB375" s="481"/>
      <c r="AC375" s="481"/>
      <c r="AD375" s="486"/>
      <c r="AE375" s="379"/>
      <c r="AF375" s="487"/>
      <c r="AG375" s="481"/>
      <c r="AH375" s="203"/>
      <c r="AI375" s="489"/>
      <c r="AJ375" s="489"/>
      <c r="AT375" s="278"/>
      <c r="AU375" s="278"/>
    </row>
    <row r="376" spans="2:47" s="277" customFormat="1" ht="15.6" customHeight="1" x14ac:dyDescent="0.25">
      <c r="B376" s="480"/>
      <c r="C376" s="480"/>
      <c r="D376" s="244"/>
      <c r="E376" s="244"/>
      <c r="F376" s="244"/>
      <c r="G376" s="244"/>
      <c r="H376" s="244"/>
      <c r="I376" s="244"/>
      <c r="J376" s="244"/>
      <c r="K376" s="244"/>
      <c r="L376" s="244"/>
      <c r="M376" s="244"/>
      <c r="N376" s="244"/>
      <c r="O376" s="481"/>
      <c r="P376" s="481"/>
      <c r="Q376" s="481"/>
      <c r="R376" s="379"/>
      <c r="S376" s="380"/>
      <c r="T376" s="482"/>
      <c r="U376" s="379"/>
      <c r="V376" s="483"/>
      <c r="W376" s="379"/>
      <c r="X376" s="379"/>
      <c r="Y376" s="484"/>
      <c r="Z376" s="485"/>
      <c r="AA376" s="244"/>
      <c r="AB376" s="481"/>
      <c r="AC376" s="481"/>
      <c r="AD376" s="486"/>
      <c r="AE376" s="379"/>
      <c r="AF376" s="487"/>
      <c r="AG376" s="481"/>
      <c r="AH376" s="203"/>
      <c r="AI376" s="489"/>
      <c r="AJ376" s="489"/>
      <c r="AT376" s="278"/>
      <c r="AU376" s="278"/>
    </row>
    <row r="377" spans="2:47" s="277" customFormat="1" ht="15.6" customHeight="1" x14ac:dyDescent="0.25">
      <c r="B377" s="480"/>
      <c r="C377" s="480"/>
      <c r="D377" s="244"/>
      <c r="E377" s="244"/>
      <c r="F377" s="244"/>
      <c r="G377" s="244"/>
      <c r="H377" s="244"/>
      <c r="I377" s="244"/>
      <c r="J377" s="244"/>
      <c r="K377" s="244"/>
      <c r="L377" s="244"/>
      <c r="M377" s="244"/>
      <c r="N377" s="244"/>
      <c r="O377" s="481"/>
      <c r="P377" s="481"/>
      <c r="Q377" s="481"/>
      <c r="R377" s="379"/>
      <c r="S377" s="380"/>
      <c r="T377" s="482"/>
      <c r="U377" s="379"/>
      <c r="V377" s="483"/>
      <c r="W377" s="379"/>
      <c r="X377" s="379"/>
      <c r="Y377" s="484"/>
      <c r="Z377" s="485"/>
      <c r="AA377" s="244"/>
      <c r="AB377" s="481"/>
      <c r="AC377" s="481"/>
      <c r="AD377" s="486"/>
      <c r="AE377" s="379"/>
      <c r="AF377" s="487"/>
      <c r="AG377" s="481"/>
      <c r="AH377" s="203"/>
      <c r="AI377" s="489"/>
      <c r="AJ377" s="489"/>
      <c r="AT377" s="278"/>
      <c r="AU377" s="278"/>
    </row>
    <row r="378" spans="2:47" s="277" customFormat="1" ht="15.6" customHeight="1" x14ac:dyDescent="0.25">
      <c r="B378" s="480"/>
      <c r="C378" s="480"/>
      <c r="D378" s="244"/>
      <c r="E378" s="244"/>
      <c r="F378" s="244"/>
      <c r="G378" s="244"/>
      <c r="H378" s="244"/>
      <c r="I378" s="244"/>
      <c r="J378" s="244"/>
      <c r="K378" s="244"/>
      <c r="L378" s="244"/>
      <c r="M378" s="244"/>
      <c r="N378" s="244"/>
      <c r="O378" s="481"/>
      <c r="P378" s="481"/>
      <c r="Q378" s="481"/>
      <c r="R378" s="379"/>
      <c r="S378" s="380"/>
      <c r="T378" s="482"/>
      <c r="U378" s="379"/>
      <c r="V378" s="483"/>
      <c r="W378" s="379"/>
      <c r="X378" s="379"/>
      <c r="Y378" s="484"/>
      <c r="Z378" s="485"/>
      <c r="AA378" s="244"/>
      <c r="AB378" s="481"/>
      <c r="AC378" s="481"/>
      <c r="AD378" s="486"/>
      <c r="AE378" s="379"/>
      <c r="AF378" s="487"/>
      <c r="AG378" s="481"/>
      <c r="AH378" s="203"/>
      <c r="AI378" s="489"/>
      <c r="AJ378" s="489"/>
      <c r="AT378" s="278"/>
      <c r="AU378" s="278"/>
    </row>
    <row r="379" spans="2:47" s="277" customFormat="1" ht="15.6" customHeight="1" x14ac:dyDescent="0.25">
      <c r="B379" s="480"/>
      <c r="C379" s="480"/>
      <c r="D379" s="244"/>
      <c r="E379" s="244"/>
      <c r="F379" s="244"/>
      <c r="G379" s="244"/>
      <c r="H379" s="244"/>
      <c r="I379" s="244"/>
      <c r="J379" s="244"/>
      <c r="K379" s="244"/>
      <c r="L379" s="244"/>
      <c r="M379" s="244"/>
      <c r="N379" s="244"/>
      <c r="O379" s="481"/>
      <c r="P379" s="481"/>
      <c r="Q379" s="481"/>
      <c r="R379" s="379"/>
      <c r="S379" s="380"/>
      <c r="T379" s="482"/>
      <c r="U379" s="379"/>
      <c r="V379" s="483"/>
      <c r="W379" s="379"/>
      <c r="X379" s="379"/>
      <c r="Y379" s="484"/>
      <c r="Z379" s="485"/>
      <c r="AA379" s="244"/>
      <c r="AB379" s="481"/>
      <c r="AC379" s="481"/>
      <c r="AD379" s="486"/>
      <c r="AE379" s="379"/>
      <c r="AF379" s="487"/>
      <c r="AG379" s="481"/>
      <c r="AH379" s="203"/>
      <c r="AI379" s="489"/>
      <c r="AJ379" s="489"/>
      <c r="AT379" s="278"/>
      <c r="AU379" s="278"/>
    </row>
    <row r="380" spans="2:47" s="277" customFormat="1" ht="15.6" customHeight="1" x14ac:dyDescent="0.25">
      <c r="B380" s="480"/>
      <c r="C380" s="480"/>
      <c r="D380" s="244"/>
      <c r="E380" s="244"/>
      <c r="F380" s="244"/>
      <c r="G380" s="244"/>
      <c r="H380" s="244"/>
      <c r="I380" s="244"/>
      <c r="J380" s="244"/>
      <c r="K380" s="244"/>
      <c r="L380" s="244"/>
      <c r="M380" s="244"/>
      <c r="N380" s="244"/>
      <c r="O380" s="481"/>
      <c r="P380" s="481"/>
      <c r="Q380" s="481"/>
      <c r="R380" s="379"/>
      <c r="S380" s="380"/>
      <c r="T380" s="482"/>
      <c r="U380" s="379"/>
      <c r="V380" s="483"/>
      <c r="W380" s="379"/>
      <c r="X380" s="379"/>
      <c r="Y380" s="484"/>
      <c r="Z380" s="485"/>
      <c r="AA380" s="244"/>
      <c r="AB380" s="481"/>
      <c r="AC380" s="481"/>
      <c r="AD380" s="486"/>
      <c r="AE380" s="379"/>
      <c r="AF380" s="487"/>
      <c r="AG380" s="481"/>
      <c r="AH380" s="203"/>
      <c r="AI380" s="489"/>
      <c r="AJ380" s="489"/>
      <c r="AT380" s="278"/>
      <c r="AU380" s="278"/>
    </row>
    <row r="381" spans="2:47" s="277" customFormat="1" ht="15.6" customHeight="1" x14ac:dyDescent="0.25">
      <c r="B381" s="480"/>
      <c r="C381" s="480"/>
      <c r="D381" s="244"/>
      <c r="E381" s="244"/>
      <c r="F381" s="244"/>
      <c r="G381" s="244"/>
      <c r="H381" s="244"/>
      <c r="I381" s="244"/>
      <c r="J381" s="244"/>
      <c r="K381" s="244"/>
      <c r="L381" s="244"/>
      <c r="M381" s="244"/>
      <c r="N381" s="244"/>
      <c r="O381" s="481"/>
      <c r="P381" s="481"/>
      <c r="Q381" s="481"/>
      <c r="R381" s="379"/>
      <c r="S381" s="380"/>
      <c r="T381" s="482"/>
      <c r="U381" s="379"/>
      <c r="V381" s="483"/>
      <c r="W381" s="379"/>
      <c r="X381" s="379"/>
      <c r="Y381" s="484"/>
      <c r="Z381" s="485"/>
      <c r="AA381" s="244"/>
      <c r="AB381" s="481"/>
      <c r="AC381" s="481"/>
      <c r="AD381" s="486"/>
      <c r="AE381" s="379"/>
      <c r="AF381" s="487"/>
      <c r="AG381" s="481"/>
      <c r="AH381" s="203"/>
      <c r="AI381" s="489"/>
      <c r="AJ381" s="489"/>
      <c r="AT381" s="278"/>
      <c r="AU381" s="278"/>
    </row>
    <row r="382" spans="2:47" s="277" customFormat="1" ht="15.6" customHeight="1" x14ac:dyDescent="0.25">
      <c r="B382" s="480"/>
      <c r="C382" s="480"/>
      <c r="D382" s="244"/>
      <c r="E382" s="244"/>
      <c r="F382" s="244"/>
      <c r="G382" s="244"/>
      <c r="H382" s="244"/>
      <c r="I382" s="244"/>
      <c r="J382" s="244"/>
      <c r="K382" s="244"/>
      <c r="L382" s="244"/>
      <c r="M382" s="244"/>
      <c r="N382" s="244"/>
      <c r="O382" s="481"/>
      <c r="P382" s="481"/>
      <c r="Q382" s="481"/>
      <c r="R382" s="379"/>
      <c r="S382" s="380"/>
      <c r="T382" s="482"/>
      <c r="U382" s="379"/>
      <c r="V382" s="483"/>
      <c r="W382" s="379"/>
      <c r="X382" s="379"/>
      <c r="Y382" s="484"/>
      <c r="Z382" s="485"/>
      <c r="AA382" s="244"/>
      <c r="AB382" s="481"/>
      <c r="AC382" s="481"/>
      <c r="AD382" s="486"/>
      <c r="AE382" s="379"/>
      <c r="AF382" s="487"/>
      <c r="AG382" s="481"/>
      <c r="AH382" s="203"/>
      <c r="AI382" s="489"/>
      <c r="AJ382" s="489"/>
      <c r="AT382" s="278"/>
      <c r="AU382" s="278"/>
    </row>
    <row r="383" spans="2:47" s="277" customFormat="1" ht="15.6" customHeight="1" x14ac:dyDescent="0.25">
      <c r="B383" s="480"/>
      <c r="C383" s="480"/>
      <c r="D383" s="244"/>
      <c r="E383" s="244"/>
      <c r="F383" s="244"/>
      <c r="G383" s="244"/>
      <c r="H383" s="244"/>
      <c r="I383" s="244"/>
      <c r="J383" s="244"/>
      <c r="K383" s="244"/>
      <c r="L383" s="244"/>
      <c r="M383" s="244"/>
      <c r="N383" s="244"/>
      <c r="O383" s="481"/>
      <c r="P383" s="481"/>
      <c r="Q383" s="481"/>
      <c r="R383" s="379"/>
      <c r="S383" s="380"/>
      <c r="T383" s="482"/>
      <c r="U383" s="379"/>
      <c r="V383" s="483"/>
      <c r="W383" s="379"/>
      <c r="X383" s="379"/>
      <c r="Y383" s="484"/>
      <c r="Z383" s="485"/>
      <c r="AA383" s="244"/>
      <c r="AB383" s="481"/>
      <c r="AC383" s="481"/>
      <c r="AD383" s="486"/>
      <c r="AE383" s="379"/>
      <c r="AF383" s="487"/>
      <c r="AG383" s="481"/>
      <c r="AH383" s="203"/>
      <c r="AI383" s="489"/>
      <c r="AJ383" s="489"/>
      <c r="AT383" s="278"/>
      <c r="AU383" s="278"/>
    </row>
    <row r="384" spans="2:47" s="277" customFormat="1" ht="15.6" customHeight="1" x14ac:dyDescent="0.25">
      <c r="B384" s="480"/>
      <c r="C384" s="480"/>
      <c r="D384" s="244"/>
      <c r="E384" s="244"/>
      <c r="F384" s="244"/>
      <c r="G384" s="244"/>
      <c r="H384" s="244"/>
      <c r="I384" s="244"/>
      <c r="J384" s="244"/>
      <c r="K384" s="244"/>
      <c r="L384" s="244"/>
      <c r="M384" s="244"/>
      <c r="N384" s="244"/>
      <c r="O384" s="481"/>
      <c r="P384" s="481"/>
      <c r="Q384" s="481"/>
      <c r="R384" s="379"/>
      <c r="S384" s="380"/>
      <c r="T384" s="482"/>
      <c r="U384" s="379"/>
      <c r="V384" s="483"/>
      <c r="W384" s="379"/>
      <c r="X384" s="379"/>
      <c r="Y384" s="484"/>
      <c r="Z384" s="485"/>
      <c r="AA384" s="244"/>
      <c r="AB384" s="481"/>
      <c r="AC384" s="481"/>
      <c r="AD384" s="486"/>
      <c r="AE384" s="379"/>
      <c r="AF384" s="487"/>
      <c r="AG384" s="481"/>
      <c r="AH384" s="203"/>
      <c r="AI384" s="489"/>
      <c r="AJ384" s="489"/>
      <c r="AT384" s="278"/>
      <c r="AU384" s="278"/>
    </row>
    <row r="385" spans="2:47" s="277" customFormat="1" ht="15.6" customHeight="1" x14ac:dyDescent="0.25">
      <c r="B385" s="480"/>
      <c r="C385" s="480"/>
      <c r="D385" s="244"/>
      <c r="E385" s="244"/>
      <c r="F385" s="244"/>
      <c r="G385" s="244"/>
      <c r="H385" s="244"/>
      <c r="I385" s="244"/>
      <c r="J385" s="244"/>
      <c r="K385" s="244"/>
      <c r="L385" s="244"/>
      <c r="M385" s="244"/>
      <c r="N385" s="244"/>
      <c r="O385" s="481"/>
      <c r="P385" s="481"/>
      <c r="Q385" s="481"/>
      <c r="R385" s="379"/>
      <c r="S385" s="380"/>
      <c r="T385" s="482"/>
      <c r="U385" s="379"/>
      <c r="V385" s="483"/>
      <c r="W385" s="379"/>
      <c r="X385" s="379"/>
      <c r="Y385" s="484"/>
      <c r="Z385" s="485"/>
      <c r="AA385" s="244"/>
      <c r="AB385" s="481"/>
      <c r="AC385" s="481"/>
      <c r="AD385" s="486"/>
      <c r="AE385" s="379"/>
      <c r="AF385" s="487"/>
      <c r="AG385" s="481"/>
      <c r="AH385" s="203"/>
      <c r="AI385" s="489"/>
      <c r="AJ385" s="489"/>
      <c r="AT385" s="278"/>
      <c r="AU385" s="278"/>
    </row>
    <row r="386" spans="2:47" s="277" customFormat="1" ht="15.6" customHeight="1" x14ac:dyDescent="0.25">
      <c r="B386" s="480"/>
      <c r="C386" s="480"/>
      <c r="D386" s="244"/>
      <c r="E386" s="244"/>
      <c r="F386" s="244"/>
      <c r="G386" s="244"/>
      <c r="H386" s="244"/>
      <c r="I386" s="244"/>
      <c r="J386" s="244"/>
      <c r="K386" s="244"/>
      <c r="L386" s="244"/>
      <c r="M386" s="244"/>
      <c r="N386" s="244"/>
      <c r="O386" s="481"/>
      <c r="P386" s="481"/>
      <c r="Q386" s="481"/>
      <c r="R386" s="379"/>
      <c r="S386" s="380"/>
      <c r="T386" s="482"/>
      <c r="U386" s="379"/>
      <c r="V386" s="483"/>
      <c r="W386" s="379"/>
      <c r="X386" s="379"/>
      <c r="Y386" s="484"/>
      <c r="Z386" s="485"/>
      <c r="AA386" s="244"/>
      <c r="AB386" s="481"/>
      <c r="AC386" s="481"/>
      <c r="AD386" s="486"/>
      <c r="AE386" s="379"/>
      <c r="AF386" s="487"/>
      <c r="AG386" s="481"/>
      <c r="AH386" s="203"/>
      <c r="AI386" s="489"/>
      <c r="AJ386" s="489"/>
      <c r="AT386" s="278"/>
      <c r="AU386" s="278"/>
    </row>
    <row r="387" spans="2:47" s="277" customFormat="1" ht="15.6" customHeight="1" x14ac:dyDescent="0.25">
      <c r="B387" s="480"/>
      <c r="C387" s="480"/>
      <c r="D387" s="244"/>
      <c r="E387" s="244"/>
      <c r="F387" s="244"/>
      <c r="G387" s="244"/>
      <c r="H387" s="244"/>
      <c r="I387" s="244"/>
      <c r="J387" s="244"/>
      <c r="K387" s="244"/>
      <c r="L387" s="244"/>
      <c r="M387" s="244"/>
      <c r="N387" s="244"/>
      <c r="O387" s="481"/>
      <c r="P387" s="481"/>
      <c r="Q387" s="481"/>
      <c r="R387" s="379"/>
      <c r="S387" s="380"/>
      <c r="T387" s="482"/>
      <c r="U387" s="379"/>
      <c r="V387" s="483"/>
      <c r="W387" s="379"/>
      <c r="X387" s="379"/>
      <c r="Y387" s="484"/>
      <c r="Z387" s="485"/>
      <c r="AA387" s="244"/>
      <c r="AB387" s="481"/>
      <c r="AC387" s="481"/>
      <c r="AD387" s="486"/>
      <c r="AE387" s="379"/>
      <c r="AF387" s="487"/>
      <c r="AG387" s="481"/>
      <c r="AH387" s="203"/>
      <c r="AI387" s="489"/>
      <c r="AJ387" s="489"/>
      <c r="AT387" s="278"/>
      <c r="AU387" s="278"/>
    </row>
    <row r="388" spans="2:47" s="277" customFormat="1" ht="15.6" customHeight="1" x14ac:dyDescent="0.25">
      <c r="B388" s="480"/>
      <c r="C388" s="480"/>
      <c r="D388" s="244"/>
      <c r="E388" s="244"/>
      <c r="F388" s="244"/>
      <c r="G388" s="244"/>
      <c r="H388" s="244"/>
      <c r="I388" s="244"/>
      <c r="J388" s="244"/>
      <c r="K388" s="244"/>
      <c r="L388" s="244"/>
      <c r="M388" s="244"/>
      <c r="N388" s="244"/>
      <c r="O388" s="481"/>
      <c r="P388" s="481"/>
      <c r="Q388" s="481"/>
      <c r="R388" s="379"/>
      <c r="S388" s="380"/>
      <c r="T388" s="482"/>
      <c r="U388" s="379"/>
      <c r="V388" s="483"/>
      <c r="W388" s="379"/>
      <c r="X388" s="379"/>
      <c r="Y388" s="484"/>
      <c r="Z388" s="485"/>
      <c r="AA388" s="244"/>
      <c r="AB388" s="481"/>
      <c r="AC388" s="481"/>
      <c r="AD388" s="486"/>
      <c r="AE388" s="379"/>
      <c r="AF388" s="487"/>
      <c r="AG388" s="481"/>
      <c r="AH388" s="203"/>
      <c r="AI388" s="489"/>
      <c r="AJ388" s="489"/>
      <c r="AT388" s="278"/>
      <c r="AU388" s="278"/>
    </row>
    <row r="389" spans="2:47" s="277" customFormat="1" ht="15.6" customHeight="1" x14ac:dyDescent="0.25">
      <c r="B389" s="480"/>
      <c r="C389" s="480"/>
      <c r="D389" s="244"/>
      <c r="E389" s="244"/>
      <c r="F389" s="244"/>
      <c r="G389" s="244"/>
      <c r="H389" s="244"/>
      <c r="I389" s="244"/>
      <c r="J389" s="244"/>
      <c r="K389" s="244"/>
      <c r="L389" s="244"/>
      <c r="M389" s="244"/>
      <c r="N389" s="244"/>
      <c r="O389" s="481"/>
      <c r="P389" s="481"/>
      <c r="Q389" s="481"/>
      <c r="R389" s="379"/>
      <c r="S389" s="380"/>
      <c r="T389" s="482"/>
      <c r="U389" s="379"/>
      <c r="V389" s="483"/>
      <c r="W389" s="379"/>
      <c r="X389" s="379"/>
      <c r="Y389" s="484"/>
      <c r="Z389" s="485"/>
      <c r="AA389" s="244"/>
      <c r="AB389" s="481"/>
      <c r="AC389" s="481"/>
      <c r="AD389" s="486"/>
      <c r="AE389" s="379"/>
      <c r="AF389" s="487"/>
      <c r="AG389" s="481"/>
      <c r="AH389" s="203"/>
      <c r="AI389" s="489"/>
      <c r="AJ389" s="489"/>
      <c r="AT389" s="278"/>
      <c r="AU389" s="278"/>
    </row>
    <row r="390" spans="2:47" s="277" customFormat="1" ht="15.6" customHeight="1" x14ac:dyDescent="0.25">
      <c r="B390" s="480"/>
      <c r="C390" s="480"/>
      <c r="D390" s="244"/>
      <c r="E390" s="244"/>
      <c r="F390" s="244"/>
      <c r="G390" s="244"/>
      <c r="H390" s="244"/>
      <c r="I390" s="244"/>
      <c r="J390" s="244"/>
      <c r="K390" s="244"/>
      <c r="L390" s="244"/>
      <c r="M390" s="244"/>
      <c r="N390" s="244"/>
      <c r="O390" s="481"/>
      <c r="P390" s="481"/>
      <c r="Q390" s="481"/>
      <c r="R390" s="379"/>
      <c r="S390" s="380"/>
      <c r="T390" s="482"/>
      <c r="U390" s="379"/>
      <c r="V390" s="483"/>
      <c r="W390" s="379"/>
      <c r="X390" s="379"/>
      <c r="Y390" s="484"/>
      <c r="Z390" s="485"/>
      <c r="AA390" s="244"/>
      <c r="AB390" s="481"/>
      <c r="AC390" s="481"/>
      <c r="AD390" s="486"/>
      <c r="AE390" s="379"/>
      <c r="AF390" s="487"/>
      <c r="AG390" s="481"/>
      <c r="AH390" s="203"/>
      <c r="AI390" s="489"/>
      <c r="AJ390" s="489"/>
      <c r="AT390" s="278"/>
      <c r="AU390" s="278"/>
    </row>
    <row r="391" spans="2:47" s="277" customFormat="1" ht="15.6" customHeight="1" x14ac:dyDescent="0.25">
      <c r="B391" s="480"/>
      <c r="C391" s="480"/>
      <c r="D391" s="244"/>
      <c r="E391" s="244"/>
      <c r="F391" s="244"/>
      <c r="G391" s="244"/>
      <c r="H391" s="244"/>
      <c r="I391" s="244"/>
      <c r="J391" s="244"/>
      <c r="K391" s="244"/>
      <c r="L391" s="244"/>
      <c r="M391" s="244"/>
      <c r="N391" s="244"/>
      <c r="O391" s="481"/>
      <c r="P391" s="481"/>
      <c r="Q391" s="481"/>
      <c r="R391" s="379"/>
      <c r="S391" s="380"/>
      <c r="T391" s="482"/>
      <c r="U391" s="379"/>
      <c r="V391" s="483"/>
      <c r="W391" s="379"/>
      <c r="X391" s="379"/>
      <c r="Y391" s="484"/>
      <c r="Z391" s="485"/>
      <c r="AA391" s="244"/>
      <c r="AB391" s="481"/>
      <c r="AC391" s="481"/>
      <c r="AD391" s="486"/>
      <c r="AE391" s="379"/>
      <c r="AF391" s="487"/>
      <c r="AG391" s="481"/>
      <c r="AH391" s="203"/>
      <c r="AI391" s="489"/>
      <c r="AJ391" s="489"/>
      <c r="AT391" s="278"/>
      <c r="AU391" s="278"/>
    </row>
    <row r="392" spans="2:47" s="277" customFormat="1" ht="15.6" customHeight="1" x14ac:dyDescent="0.25">
      <c r="B392" s="480"/>
      <c r="C392" s="480"/>
      <c r="D392" s="244"/>
      <c r="E392" s="244"/>
      <c r="F392" s="244"/>
      <c r="G392" s="244"/>
      <c r="H392" s="244"/>
      <c r="I392" s="244"/>
      <c r="J392" s="244"/>
      <c r="K392" s="244"/>
      <c r="L392" s="244"/>
      <c r="M392" s="244"/>
      <c r="N392" s="244"/>
      <c r="O392" s="481"/>
      <c r="P392" s="481"/>
      <c r="Q392" s="481"/>
      <c r="R392" s="379"/>
      <c r="S392" s="380"/>
      <c r="T392" s="482"/>
      <c r="U392" s="379"/>
      <c r="V392" s="483"/>
      <c r="W392" s="379"/>
      <c r="X392" s="379"/>
      <c r="Y392" s="484"/>
      <c r="Z392" s="485"/>
      <c r="AA392" s="244"/>
      <c r="AB392" s="481"/>
      <c r="AC392" s="481"/>
      <c r="AD392" s="486"/>
      <c r="AE392" s="379"/>
      <c r="AF392" s="487"/>
      <c r="AG392" s="481"/>
      <c r="AH392" s="203"/>
      <c r="AI392" s="489"/>
      <c r="AJ392" s="489"/>
      <c r="AT392" s="278"/>
      <c r="AU392" s="278"/>
    </row>
    <row r="393" spans="2:47" s="277" customFormat="1" ht="15.6" customHeight="1" x14ac:dyDescent="0.25">
      <c r="B393" s="480"/>
      <c r="C393" s="480"/>
      <c r="D393" s="244"/>
      <c r="E393" s="244"/>
      <c r="F393" s="244"/>
      <c r="G393" s="244"/>
      <c r="H393" s="244"/>
      <c r="I393" s="244"/>
      <c r="J393" s="244"/>
      <c r="K393" s="244"/>
      <c r="L393" s="244"/>
      <c r="M393" s="244"/>
      <c r="N393" s="244"/>
      <c r="O393" s="481"/>
      <c r="P393" s="481"/>
      <c r="Q393" s="481"/>
      <c r="R393" s="379"/>
      <c r="S393" s="380"/>
      <c r="T393" s="482"/>
      <c r="U393" s="379"/>
      <c r="V393" s="483"/>
      <c r="W393" s="379"/>
      <c r="X393" s="379"/>
      <c r="Y393" s="484"/>
      <c r="Z393" s="485"/>
      <c r="AA393" s="244"/>
      <c r="AB393" s="481"/>
      <c r="AC393" s="481"/>
      <c r="AD393" s="486"/>
      <c r="AE393" s="379"/>
      <c r="AF393" s="487"/>
      <c r="AG393" s="481"/>
      <c r="AH393" s="203"/>
      <c r="AI393" s="489"/>
      <c r="AJ393" s="489"/>
      <c r="AT393" s="278"/>
      <c r="AU393" s="278"/>
    </row>
    <row r="394" spans="2:47" s="277" customFormat="1" ht="15.6" customHeight="1" x14ac:dyDescent="0.25">
      <c r="B394" s="480"/>
      <c r="C394" s="480"/>
      <c r="D394" s="244"/>
      <c r="E394" s="244"/>
      <c r="F394" s="244"/>
      <c r="G394" s="244"/>
      <c r="H394" s="244"/>
      <c r="I394" s="244"/>
      <c r="J394" s="244"/>
      <c r="K394" s="244"/>
      <c r="L394" s="244"/>
      <c r="M394" s="244"/>
      <c r="N394" s="244"/>
      <c r="O394" s="481"/>
      <c r="P394" s="481"/>
      <c r="Q394" s="481"/>
      <c r="R394" s="379"/>
      <c r="S394" s="380"/>
      <c r="T394" s="482"/>
      <c r="U394" s="379"/>
      <c r="V394" s="483"/>
      <c r="W394" s="379"/>
      <c r="X394" s="379"/>
      <c r="Y394" s="484"/>
      <c r="Z394" s="485"/>
      <c r="AA394" s="244"/>
      <c r="AB394" s="481"/>
      <c r="AC394" s="481"/>
      <c r="AD394" s="486"/>
      <c r="AE394" s="379"/>
      <c r="AF394" s="487"/>
      <c r="AG394" s="481"/>
      <c r="AH394" s="203"/>
      <c r="AI394" s="489"/>
      <c r="AJ394" s="489"/>
      <c r="AT394" s="278"/>
      <c r="AU394" s="278"/>
    </row>
    <row r="395" spans="2:47" s="277" customFormat="1" ht="15.6" customHeight="1" x14ac:dyDescent="0.25">
      <c r="B395" s="480"/>
      <c r="C395" s="480"/>
      <c r="D395" s="244"/>
      <c r="E395" s="244"/>
      <c r="F395" s="244"/>
      <c r="G395" s="244"/>
      <c r="H395" s="244"/>
      <c r="I395" s="244"/>
      <c r="J395" s="244"/>
      <c r="K395" s="244"/>
      <c r="L395" s="244"/>
      <c r="M395" s="244"/>
      <c r="N395" s="244"/>
      <c r="O395" s="481"/>
      <c r="P395" s="481"/>
      <c r="Q395" s="481"/>
      <c r="R395" s="379"/>
      <c r="S395" s="380"/>
      <c r="T395" s="482"/>
      <c r="U395" s="379"/>
      <c r="V395" s="483"/>
      <c r="W395" s="379"/>
      <c r="X395" s="379"/>
      <c r="Y395" s="484"/>
      <c r="Z395" s="485"/>
      <c r="AA395" s="244"/>
      <c r="AB395" s="481"/>
      <c r="AC395" s="481"/>
      <c r="AD395" s="486"/>
      <c r="AE395" s="379"/>
      <c r="AF395" s="487"/>
      <c r="AG395" s="481"/>
      <c r="AH395" s="203"/>
      <c r="AI395" s="489"/>
      <c r="AJ395" s="489"/>
      <c r="AT395" s="278"/>
      <c r="AU395" s="278"/>
    </row>
    <row r="396" spans="2:47" s="277" customFormat="1" ht="15.6" customHeight="1" x14ac:dyDescent="0.25">
      <c r="B396" s="480"/>
      <c r="C396" s="480"/>
      <c r="D396" s="244"/>
      <c r="E396" s="244"/>
      <c r="F396" s="244"/>
      <c r="G396" s="244"/>
      <c r="H396" s="244"/>
      <c r="I396" s="244"/>
      <c r="J396" s="244"/>
      <c r="K396" s="244"/>
      <c r="L396" s="244"/>
      <c r="M396" s="244"/>
      <c r="N396" s="244"/>
      <c r="O396" s="481"/>
      <c r="P396" s="481"/>
      <c r="Q396" s="481"/>
      <c r="R396" s="379"/>
      <c r="S396" s="380"/>
      <c r="T396" s="482"/>
      <c r="U396" s="379"/>
      <c r="V396" s="483"/>
      <c r="W396" s="379"/>
      <c r="X396" s="379"/>
      <c r="Y396" s="484"/>
      <c r="Z396" s="485"/>
      <c r="AA396" s="244"/>
      <c r="AB396" s="481"/>
      <c r="AC396" s="481"/>
      <c r="AD396" s="486"/>
      <c r="AE396" s="379"/>
      <c r="AF396" s="487"/>
      <c r="AG396" s="481"/>
      <c r="AH396" s="203"/>
      <c r="AI396" s="489"/>
      <c r="AJ396" s="489"/>
      <c r="AT396" s="278"/>
      <c r="AU396" s="278"/>
    </row>
    <row r="397" spans="2:47" s="277" customFormat="1" ht="15.6" customHeight="1" x14ac:dyDescent="0.25">
      <c r="B397" s="480"/>
      <c r="C397" s="480"/>
      <c r="D397" s="244"/>
      <c r="E397" s="244"/>
      <c r="F397" s="244"/>
      <c r="G397" s="244"/>
      <c r="H397" s="244"/>
      <c r="I397" s="244"/>
      <c r="J397" s="244"/>
      <c r="K397" s="244"/>
      <c r="L397" s="244"/>
      <c r="M397" s="244"/>
      <c r="N397" s="244"/>
      <c r="O397" s="481"/>
      <c r="P397" s="481"/>
      <c r="Q397" s="481"/>
      <c r="R397" s="379"/>
      <c r="S397" s="380"/>
      <c r="T397" s="482"/>
      <c r="U397" s="379"/>
      <c r="V397" s="483"/>
      <c r="W397" s="379"/>
      <c r="X397" s="379"/>
      <c r="Y397" s="484"/>
      <c r="Z397" s="485"/>
      <c r="AA397" s="244"/>
      <c r="AB397" s="481"/>
      <c r="AC397" s="481"/>
      <c r="AD397" s="486"/>
      <c r="AE397" s="379"/>
      <c r="AF397" s="487"/>
      <c r="AG397" s="481"/>
      <c r="AH397" s="203"/>
      <c r="AI397" s="489"/>
      <c r="AJ397" s="489"/>
      <c r="AT397" s="278"/>
      <c r="AU397" s="278"/>
    </row>
    <row r="398" spans="2:47" s="277" customFormat="1" ht="15.6" customHeight="1" x14ac:dyDescent="0.25">
      <c r="B398" s="480"/>
      <c r="C398" s="480"/>
      <c r="D398" s="244"/>
      <c r="E398" s="244"/>
      <c r="F398" s="244"/>
      <c r="G398" s="244"/>
      <c r="H398" s="244"/>
      <c r="I398" s="244"/>
      <c r="J398" s="244"/>
      <c r="K398" s="244"/>
      <c r="L398" s="244"/>
      <c r="M398" s="244"/>
      <c r="N398" s="244"/>
      <c r="O398" s="481"/>
      <c r="P398" s="481"/>
      <c r="Q398" s="481"/>
      <c r="R398" s="379"/>
      <c r="S398" s="380"/>
      <c r="T398" s="482"/>
      <c r="U398" s="379"/>
      <c r="V398" s="483"/>
      <c r="W398" s="379"/>
      <c r="X398" s="379"/>
      <c r="Y398" s="484"/>
      <c r="Z398" s="485"/>
      <c r="AA398" s="244"/>
      <c r="AB398" s="481"/>
      <c r="AC398" s="481"/>
      <c r="AD398" s="486"/>
      <c r="AE398" s="379"/>
      <c r="AF398" s="487"/>
      <c r="AG398" s="481"/>
      <c r="AH398" s="203"/>
      <c r="AI398" s="489"/>
      <c r="AJ398" s="489"/>
      <c r="AT398" s="278"/>
      <c r="AU398" s="278"/>
    </row>
    <row r="399" spans="2:47" s="277" customFormat="1" ht="15.6" customHeight="1" x14ac:dyDescent="0.25">
      <c r="B399" s="480"/>
      <c r="C399" s="480"/>
      <c r="D399" s="244"/>
      <c r="E399" s="244"/>
      <c r="F399" s="244"/>
      <c r="G399" s="244"/>
      <c r="H399" s="244"/>
      <c r="I399" s="244"/>
      <c r="J399" s="244"/>
      <c r="K399" s="244"/>
      <c r="L399" s="244"/>
      <c r="M399" s="244"/>
      <c r="N399" s="244"/>
      <c r="O399" s="481"/>
      <c r="P399" s="481"/>
      <c r="Q399" s="481"/>
      <c r="R399" s="379"/>
      <c r="S399" s="380"/>
      <c r="T399" s="482"/>
      <c r="U399" s="379"/>
      <c r="V399" s="483"/>
      <c r="W399" s="379"/>
      <c r="X399" s="379"/>
      <c r="Y399" s="484"/>
      <c r="Z399" s="485"/>
      <c r="AA399" s="244"/>
      <c r="AB399" s="481"/>
      <c r="AC399" s="481"/>
      <c r="AD399" s="486"/>
      <c r="AE399" s="379"/>
      <c r="AF399" s="487"/>
      <c r="AG399" s="481"/>
      <c r="AH399" s="203"/>
      <c r="AI399" s="489"/>
      <c r="AJ399" s="489"/>
      <c r="AT399" s="278"/>
      <c r="AU399" s="278"/>
    </row>
    <row r="400" spans="2:47" s="277" customFormat="1" ht="15.6" customHeight="1" x14ac:dyDescent="0.25">
      <c r="B400" s="480"/>
      <c r="C400" s="480"/>
      <c r="D400" s="244"/>
      <c r="E400" s="244"/>
      <c r="F400" s="244"/>
      <c r="G400" s="244"/>
      <c r="H400" s="244"/>
      <c r="I400" s="244"/>
      <c r="J400" s="244"/>
      <c r="K400" s="244"/>
      <c r="L400" s="244"/>
      <c r="M400" s="244"/>
      <c r="N400" s="244"/>
      <c r="O400" s="481"/>
      <c r="P400" s="481"/>
      <c r="Q400" s="481"/>
      <c r="R400" s="379"/>
      <c r="S400" s="380"/>
      <c r="T400" s="482"/>
      <c r="U400" s="379"/>
      <c r="V400" s="483"/>
      <c r="W400" s="379"/>
      <c r="X400" s="379"/>
      <c r="Y400" s="484"/>
      <c r="Z400" s="485"/>
      <c r="AA400" s="244"/>
      <c r="AB400" s="481"/>
      <c r="AC400" s="481"/>
      <c r="AD400" s="486"/>
      <c r="AE400" s="379"/>
      <c r="AF400" s="487"/>
      <c r="AG400" s="481"/>
      <c r="AH400" s="203"/>
      <c r="AI400" s="489"/>
      <c r="AJ400" s="489"/>
      <c r="AT400" s="278"/>
      <c r="AU400" s="278"/>
    </row>
    <row r="401" spans="2:47" s="277" customFormat="1" ht="15.6" customHeight="1" x14ac:dyDescent="0.25">
      <c r="B401" s="480"/>
      <c r="C401" s="480"/>
      <c r="D401" s="244"/>
      <c r="E401" s="244"/>
      <c r="F401" s="244"/>
      <c r="G401" s="244"/>
      <c r="H401" s="244"/>
      <c r="I401" s="244"/>
      <c r="J401" s="244"/>
      <c r="K401" s="244"/>
      <c r="L401" s="244"/>
      <c r="M401" s="244"/>
      <c r="N401" s="244"/>
      <c r="O401" s="481"/>
      <c r="P401" s="481"/>
      <c r="Q401" s="481"/>
      <c r="R401" s="379"/>
      <c r="S401" s="380"/>
      <c r="T401" s="482"/>
      <c r="U401" s="379"/>
      <c r="V401" s="483"/>
      <c r="W401" s="379"/>
      <c r="X401" s="379"/>
      <c r="Y401" s="484"/>
      <c r="Z401" s="485"/>
      <c r="AA401" s="244"/>
      <c r="AB401" s="481"/>
      <c r="AC401" s="481"/>
      <c r="AD401" s="486"/>
      <c r="AE401" s="379"/>
      <c r="AF401" s="487"/>
      <c r="AG401" s="481"/>
      <c r="AH401" s="203"/>
      <c r="AI401" s="489"/>
      <c r="AJ401" s="489"/>
      <c r="AT401" s="278"/>
      <c r="AU401" s="278"/>
    </row>
    <row r="402" spans="2:47" s="277" customFormat="1" ht="15.6" customHeight="1" x14ac:dyDescent="0.25">
      <c r="B402" s="480"/>
      <c r="C402" s="480"/>
      <c r="D402" s="244"/>
      <c r="E402" s="244"/>
      <c r="F402" s="244"/>
      <c r="G402" s="244"/>
      <c r="H402" s="244"/>
      <c r="I402" s="244"/>
      <c r="J402" s="244"/>
      <c r="K402" s="244"/>
      <c r="L402" s="244"/>
      <c r="M402" s="244"/>
      <c r="N402" s="244"/>
      <c r="O402" s="481"/>
      <c r="P402" s="481"/>
      <c r="Q402" s="481"/>
      <c r="R402" s="379"/>
      <c r="S402" s="380"/>
      <c r="T402" s="482"/>
      <c r="U402" s="379"/>
      <c r="V402" s="483"/>
      <c r="W402" s="379"/>
      <c r="X402" s="379"/>
      <c r="Y402" s="484"/>
      <c r="Z402" s="485"/>
      <c r="AA402" s="244"/>
      <c r="AB402" s="481"/>
      <c r="AC402" s="481"/>
      <c r="AD402" s="486"/>
      <c r="AE402" s="379"/>
      <c r="AF402" s="487"/>
      <c r="AG402" s="481"/>
      <c r="AH402" s="203"/>
      <c r="AI402" s="489"/>
      <c r="AJ402" s="489"/>
      <c r="AT402" s="278"/>
      <c r="AU402" s="278"/>
    </row>
    <row r="403" spans="2:47" s="277" customFormat="1" ht="15.6" customHeight="1" x14ac:dyDescent="0.25">
      <c r="B403" s="480"/>
      <c r="C403" s="480"/>
      <c r="D403" s="244"/>
      <c r="E403" s="244"/>
      <c r="F403" s="244"/>
      <c r="G403" s="244"/>
      <c r="H403" s="244"/>
      <c r="I403" s="244"/>
      <c r="J403" s="244"/>
      <c r="K403" s="244"/>
      <c r="L403" s="244"/>
      <c r="M403" s="244"/>
      <c r="N403" s="244"/>
      <c r="O403" s="481"/>
      <c r="P403" s="481"/>
      <c r="Q403" s="481"/>
      <c r="R403" s="379"/>
      <c r="S403" s="380"/>
      <c r="T403" s="482"/>
      <c r="U403" s="379"/>
      <c r="V403" s="483"/>
      <c r="W403" s="379"/>
      <c r="X403" s="379"/>
      <c r="Y403" s="484"/>
      <c r="Z403" s="485"/>
      <c r="AA403" s="244"/>
      <c r="AB403" s="481"/>
      <c r="AC403" s="481"/>
      <c r="AD403" s="486"/>
      <c r="AE403" s="379"/>
      <c r="AF403" s="487"/>
      <c r="AG403" s="481"/>
      <c r="AH403" s="203"/>
      <c r="AI403" s="489"/>
      <c r="AJ403" s="489"/>
      <c r="AT403" s="278"/>
      <c r="AU403" s="278"/>
    </row>
    <row r="404" spans="2:47" s="277" customFormat="1" ht="15.6" customHeight="1" x14ac:dyDescent="0.25">
      <c r="B404" s="480"/>
      <c r="C404" s="480"/>
      <c r="D404" s="244"/>
      <c r="E404" s="244"/>
      <c r="F404" s="244"/>
      <c r="G404" s="244"/>
      <c r="H404" s="244"/>
      <c r="I404" s="244"/>
      <c r="J404" s="244"/>
      <c r="K404" s="244"/>
      <c r="L404" s="244"/>
      <c r="M404" s="244"/>
      <c r="N404" s="244"/>
      <c r="O404" s="481"/>
      <c r="P404" s="481"/>
      <c r="Q404" s="481"/>
      <c r="R404" s="379"/>
      <c r="S404" s="380"/>
      <c r="T404" s="482"/>
      <c r="U404" s="379"/>
      <c r="V404" s="483"/>
      <c r="W404" s="379"/>
      <c r="X404" s="379"/>
      <c r="Y404" s="484"/>
      <c r="Z404" s="485"/>
      <c r="AA404" s="244"/>
      <c r="AB404" s="481"/>
      <c r="AC404" s="481"/>
      <c r="AD404" s="486"/>
      <c r="AE404" s="379"/>
      <c r="AF404" s="487"/>
      <c r="AG404" s="481"/>
      <c r="AH404" s="203"/>
      <c r="AI404" s="489"/>
      <c r="AJ404" s="489"/>
      <c r="AT404" s="278"/>
      <c r="AU404" s="278"/>
    </row>
    <row r="405" spans="2:47" s="277" customFormat="1" ht="15.6" customHeight="1" x14ac:dyDescent="0.25">
      <c r="B405" s="480"/>
      <c r="C405" s="480"/>
      <c r="D405" s="244"/>
      <c r="E405" s="244"/>
      <c r="F405" s="244"/>
      <c r="G405" s="244"/>
      <c r="H405" s="244"/>
      <c r="I405" s="244"/>
      <c r="J405" s="244"/>
      <c r="K405" s="244"/>
      <c r="L405" s="244"/>
      <c r="M405" s="244"/>
      <c r="N405" s="244"/>
      <c r="O405" s="481"/>
      <c r="P405" s="481"/>
      <c r="Q405" s="481"/>
      <c r="R405" s="379"/>
      <c r="S405" s="380"/>
      <c r="T405" s="482"/>
      <c r="U405" s="379"/>
      <c r="V405" s="483"/>
      <c r="W405" s="379"/>
      <c r="X405" s="379"/>
      <c r="Y405" s="484"/>
      <c r="Z405" s="485"/>
      <c r="AA405" s="244"/>
      <c r="AB405" s="481"/>
      <c r="AC405" s="481"/>
      <c r="AD405" s="486"/>
      <c r="AE405" s="379"/>
      <c r="AF405" s="487"/>
      <c r="AG405" s="481"/>
      <c r="AH405" s="203"/>
      <c r="AI405" s="489"/>
      <c r="AJ405" s="489"/>
      <c r="AT405" s="278"/>
      <c r="AU405" s="278"/>
    </row>
    <row r="406" spans="2:47" s="277" customFormat="1" ht="15.6" customHeight="1" x14ac:dyDescent="0.25">
      <c r="B406" s="480"/>
      <c r="C406" s="480"/>
      <c r="D406" s="244"/>
      <c r="E406" s="244"/>
      <c r="F406" s="244"/>
      <c r="G406" s="244"/>
      <c r="H406" s="244"/>
      <c r="I406" s="244"/>
      <c r="J406" s="244"/>
      <c r="K406" s="244"/>
      <c r="L406" s="244"/>
      <c r="M406" s="244"/>
      <c r="N406" s="244"/>
      <c r="O406" s="481"/>
      <c r="P406" s="481"/>
      <c r="Q406" s="481"/>
      <c r="R406" s="379"/>
      <c r="S406" s="380"/>
      <c r="T406" s="482"/>
      <c r="U406" s="379"/>
      <c r="V406" s="483"/>
      <c r="W406" s="379"/>
      <c r="X406" s="379"/>
      <c r="Y406" s="484"/>
      <c r="Z406" s="485"/>
      <c r="AA406" s="244"/>
      <c r="AB406" s="481"/>
      <c r="AC406" s="481"/>
      <c r="AD406" s="486"/>
      <c r="AE406" s="379"/>
      <c r="AF406" s="487"/>
      <c r="AG406" s="481"/>
      <c r="AH406" s="203"/>
      <c r="AI406" s="489"/>
      <c r="AJ406" s="489"/>
      <c r="AT406" s="278"/>
      <c r="AU406" s="278"/>
    </row>
    <row r="407" spans="2:47" s="277" customFormat="1" ht="15.6" customHeight="1" x14ac:dyDescent="0.25">
      <c r="B407" s="480"/>
      <c r="C407" s="480"/>
      <c r="D407" s="244"/>
      <c r="E407" s="244"/>
      <c r="F407" s="244"/>
      <c r="G407" s="244"/>
      <c r="H407" s="244"/>
      <c r="I407" s="244"/>
      <c r="J407" s="244"/>
      <c r="K407" s="244"/>
      <c r="L407" s="244"/>
      <c r="M407" s="244"/>
      <c r="N407" s="244"/>
      <c r="O407" s="481"/>
      <c r="P407" s="481"/>
      <c r="Q407" s="481"/>
      <c r="R407" s="379"/>
      <c r="S407" s="380"/>
      <c r="T407" s="482"/>
      <c r="U407" s="379"/>
      <c r="V407" s="483"/>
      <c r="W407" s="379"/>
      <c r="X407" s="379"/>
      <c r="Y407" s="484"/>
      <c r="Z407" s="485"/>
      <c r="AA407" s="244"/>
      <c r="AB407" s="481"/>
      <c r="AC407" s="481"/>
      <c r="AD407" s="486"/>
      <c r="AE407" s="379"/>
      <c r="AF407" s="487"/>
      <c r="AG407" s="481"/>
      <c r="AH407" s="203"/>
      <c r="AI407" s="489"/>
      <c r="AJ407" s="489"/>
      <c r="AT407" s="278"/>
      <c r="AU407" s="278"/>
    </row>
    <row r="408" spans="2:47" s="277" customFormat="1" ht="15.6" customHeight="1" x14ac:dyDescent="0.25">
      <c r="B408" s="480"/>
      <c r="C408" s="480"/>
      <c r="D408" s="244"/>
      <c r="E408" s="244"/>
      <c r="F408" s="244"/>
      <c r="G408" s="244"/>
      <c r="H408" s="244"/>
      <c r="I408" s="244"/>
      <c r="J408" s="244"/>
      <c r="K408" s="244"/>
      <c r="L408" s="244"/>
      <c r="M408" s="244"/>
      <c r="N408" s="244"/>
      <c r="O408" s="481"/>
      <c r="P408" s="481"/>
      <c r="Q408" s="481"/>
      <c r="R408" s="379"/>
      <c r="S408" s="380"/>
      <c r="T408" s="482"/>
      <c r="U408" s="379"/>
      <c r="V408" s="483"/>
      <c r="W408" s="379"/>
      <c r="X408" s="379"/>
      <c r="Y408" s="484"/>
      <c r="Z408" s="485"/>
      <c r="AA408" s="244"/>
      <c r="AB408" s="481"/>
      <c r="AC408" s="481"/>
      <c r="AD408" s="486"/>
      <c r="AE408" s="379"/>
      <c r="AF408" s="487"/>
      <c r="AG408" s="481"/>
      <c r="AH408" s="203"/>
      <c r="AI408" s="489"/>
      <c r="AJ408" s="489"/>
      <c r="AT408" s="278"/>
      <c r="AU408" s="278"/>
    </row>
    <row r="409" spans="2:47" s="277" customFormat="1" ht="15.6" customHeight="1" x14ac:dyDescent="0.25">
      <c r="B409" s="480"/>
      <c r="C409" s="480"/>
      <c r="D409" s="244"/>
      <c r="E409" s="244"/>
      <c r="F409" s="244"/>
      <c r="G409" s="244"/>
      <c r="H409" s="244"/>
      <c r="I409" s="244"/>
      <c r="J409" s="244"/>
      <c r="K409" s="244"/>
      <c r="L409" s="244"/>
      <c r="M409" s="244"/>
      <c r="N409" s="244"/>
      <c r="O409" s="481"/>
      <c r="P409" s="481"/>
      <c r="Q409" s="481"/>
      <c r="R409" s="379"/>
      <c r="S409" s="380"/>
      <c r="T409" s="482"/>
      <c r="U409" s="379"/>
      <c r="V409" s="483"/>
      <c r="W409" s="379"/>
      <c r="X409" s="379"/>
      <c r="Y409" s="484"/>
      <c r="Z409" s="485"/>
      <c r="AA409" s="244"/>
      <c r="AB409" s="481"/>
      <c r="AC409" s="481"/>
      <c r="AD409" s="486"/>
      <c r="AE409" s="379"/>
      <c r="AF409" s="487"/>
      <c r="AG409" s="481"/>
      <c r="AH409" s="203"/>
      <c r="AI409" s="489"/>
      <c r="AJ409" s="489"/>
      <c r="AT409" s="278"/>
      <c r="AU409" s="278"/>
    </row>
    <row r="410" spans="2:47" s="277" customFormat="1" ht="15.6" customHeight="1" x14ac:dyDescent="0.25">
      <c r="B410" s="480"/>
      <c r="C410" s="480"/>
      <c r="D410" s="244"/>
      <c r="E410" s="244"/>
      <c r="F410" s="244"/>
      <c r="G410" s="244"/>
      <c r="H410" s="244"/>
      <c r="I410" s="244"/>
      <c r="J410" s="244"/>
      <c r="K410" s="244"/>
      <c r="L410" s="244"/>
      <c r="M410" s="244"/>
      <c r="N410" s="244"/>
      <c r="O410" s="481"/>
      <c r="P410" s="481"/>
      <c r="Q410" s="481"/>
      <c r="R410" s="379"/>
      <c r="S410" s="380"/>
      <c r="T410" s="482"/>
      <c r="U410" s="379"/>
      <c r="V410" s="483"/>
      <c r="W410" s="379"/>
      <c r="X410" s="379"/>
      <c r="Y410" s="484"/>
      <c r="Z410" s="485"/>
      <c r="AA410" s="244"/>
      <c r="AB410" s="481"/>
      <c r="AC410" s="481"/>
      <c r="AD410" s="486"/>
      <c r="AE410" s="379"/>
      <c r="AF410" s="487"/>
      <c r="AG410" s="481"/>
      <c r="AH410" s="203"/>
      <c r="AI410" s="489"/>
      <c r="AJ410" s="489"/>
      <c r="AT410" s="278"/>
      <c r="AU410" s="278"/>
    </row>
    <row r="411" spans="2:47" s="277" customFormat="1" ht="15.6" customHeight="1" x14ac:dyDescent="0.25">
      <c r="B411" s="480"/>
      <c r="C411" s="480"/>
      <c r="D411" s="244"/>
      <c r="E411" s="244"/>
      <c r="F411" s="244"/>
      <c r="G411" s="244"/>
      <c r="H411" s="244"/>
      <c r="I411" s="244"/>
      <c r="J411" s="244"/>
      <c r="K411" s="244"/>
      <c r="L411" s="244"/>
      <c r="M411" s="244"/>
      <c r="N411" s="244"/>
      <c r="O411" s="481"/>
      <c r="P411" s="481"/>
      <c r="Q411" s="481"/>
      <c r="R411" s="379"/>
      <c r="S411" s="380"/>
      <c r="T411" s="482"/>
      <c r="U411" s="379"/>
      <c r="V411" s="483"/>
      <c r="W411" s="379"/>
      <c r="X411" s="379"/>
      <c r="Y411" s="484"/>
      <c r="Z411" s="485"/>
      <c r="AA411" s="244"/>
      <c r="AB411" s="481"/>
      <c r="AC411" s="481"/>
      <c r="AD411" s="486"/>
      <c r="AE411" s="379"/>
      <c r="AF411" s="487"/>
      <c r="AG411" s="481"/>
      <c r="AH411" s="203"/>
      <c r="AI411" s="489"/>
      <c r="AJ411" s="489"/>
      <c r="AT411" s="278"/>
      <c r="AU411" s="278"/>
    </row>
    <row r="412" spans="2:47" s="277" customFormat="1" ht="15.6" customHeight="1" x14ac:dyDescent="0.25">
      <c r="B412" s="480"/>
      <c r="C412" s="480"/>
      <c r="D412" s="244"/>
      <c r="E412" s="244"/>
      <c r="F412" s="244"/>
      <c r="G412" s="244"/>
      <c r="H412" s="244"/>
      <c r="I412" s="244"/>
      <c r="J412" s="244"/>
      <c r="K412" s="244"/>
      <c r="L412" s="244"/>
      <c r="M412" s="244"/>
      <c r="N412" s="244"/>
      <c r="O412" s="481"/>
      <c r="P412" s="481"/>
      <c r="Q412" s="481"/>
      <c r="R412" s="379"/>
      <c r="S412" s="380"/>
      <c r="T412" s="482"/>
      <c r="U412" s="379"/>
      <c r="V412" s="483"/>
      <c r="W412" s="379"/>
      <c r="X412" s="379"/>
      <c r="Y412" s="484"/>
      <c r="Z412" s="485"/>
      <c r="AA412" s="244"/>
      <c r="AB412" s="481"/>
      <c r="AC412" s="481"/>
      <c r="AD412" s="486"/>
      <c r="AE412" s="379"/>
      <c r="AF412" s="487"/>
      <c r="AG412" s="481"/>
      <c r="AH412" s="203"/>
      <c r="AI412" s="489"/>
      <c r="AJ412" s="489"/>
      <c r="AT412" s="278"/>
      <c r="AU412" s="278"/>
    </row>
    <row r="413" spans="2:47" s="277" customFormat="1" ht="15.6" customHeight="1" x14ac:dyDescent="0.25">
      <c r="B413" s="480"/>
      <c r="C413" s="480"/>
      <c r="D413" s="244"/>
      <c r="E413" s="244"/>
      <c r="F413" s="244"/>
      <c r="G413" s="244"/>
      <c r="H413" s="244"/>
      <c r="I413" s="244"/>
      <c r="J413" s="244"/>
      <c r="K413" s="244"/>
      <c r="L413" s="244"/>
      <c r="M413" s="244"/>
      <c r="N413" s="244"/>
      <c r="O413" s="481"/>
      <c r="P413" s="481"/>
      <c r="Q413" s="481"/>
      <c r="R413" s="379"/>
      <c r="S413" s="380"/>
      <c r="T413" s="482"/>
      <c r="U413" s="379"/>
      <c r="V413" s="483"/>
      <c r="W413" s="379"/>
      <c r="X413" s="379"/>
      <c r="Y413" s="484"/>
      <c r="Z413" s="485"/>
      <c r="AA413" s="244"/>
      <c r="AB413" s="481"/>
      <c r="AC413" s="481"/>
      <c r="AD413" s="486"/>
      <c r="AE413" s="379"/>
      <c r="AF413" s="487"/>
      <c r="AG413" s="481"/>
      <c r="AH413" s="203"/>
      <c r="AI413" s="489"/>
      <c r="AJ413" s="489"/>
      <c r="AT413" s="278"/>
      <c r="AU413" s="278"/>
    </row>
    <row r="414" spans="2:47" s="277" customFormat="1" ht="15.6" customHeight="1" x14ac:dyDescent="0.25">
      <c r="B414" s="480"/>
      <c r="C414" s="480"/>
      <c r="D414" s="244"/>
      <c r="E414" s="244"/>
      <c r="F414" s="244"/>
      <c r="G414" s="244"/>
      <c r="H414" s="244"/>
      <c r="I414" s="244"/>
      <c r="J414" s="244"/>
      <c r="K414" s="244"/>
      <c r="L414" s="244"/>
      <c r="M414" s="244"/>
      <c r="N414" s="244"/>
      <c r="O414" s="481"/>
      <c r="P414" s="481"/>
      <c r="Q414" s="481"/>
      <c r="R414" s="379"/>
      <c r="S414" s="380"/>
      <c r="T414" s="482"/>
      <c r="U414" s="379"/>
      <c r="V414" s="483"/>
      <c r="W414" s="379"/>
      <c r="X414" s="379"/>
      <c r="Y414" s="484"/>
      <c r="Z414" s="485"/>
      <c r="AA414" s="244"/>
      <c r="AB414" s="481"/>
      <c r="AC414" s="481"/>
      <c r="AD414" s="486"/>
      <c r="AE414" s="379"/>
      <c r="AF414" s="487"/>
      <c r="AG414" s="481"/>
      <c r="AH414" s="203"/>
      <c r="AI414" s="489"/>
      <c r="AJ414" s="489"/>
      <c r="AT414" s="278"/>
      <c r="AU414" s="278"/>
    </row>
    <row r="415" spans="2:47" s="277" customFormat="1" ht="15.6" customHeight="1" x14ac:dyDescent="0.25">
      <c r="B415" s="480"/>
      <c r="C415" s="480"/>
      <c r="D415" s="244"/>
      <c r="E415" s="244"/>
      <c r="F415" s="244"/>
      <c r="G415" s="244"/>
      <c r="H415" s="244"/>
      <c r="I415" s="244"/>
      <c r="J415" s="244"/>
      <c r="K415" s="244"/>
      <c r="L415" s="244"/>
      <c r="M415" s="244"/>
      <c r="N415" s="244"/>
      <c r="O415" s="481"/>
      <c r="P415" s="481"/>
      <c r="Q415" s="481"/>
      <c r="R415" s="379"/>
      <c r="S415" s="380"/>
      <c r="T415" s="482"/>
      <c r="U415" s="379"/>
      <c r="V415" s="483"/>
      <c r="W415" s="379"/>
      <c r="X415" s="379"/>
      <c r="Y415" s="484"/>
      <c r="Z415" s="485"/>
      <c r="AA415" s="244"/>
      <c r="AB415" s="481"/>
      <c r="AC415" s="481"/>
      <c r="AD415" s="486"/>
      <c r="AE415" s="379"/>
      <c r="AF415" s="487"/>
      <c r="AG415" s="481"/>
      <c r="AH415" s="203"/>
      <c r="AI415" s="489"/>
      <c r="AJ415" s="489"/>
      <c r="AT415" s="278"/>
      <c r="AU415" s="278"/>
    </row>
  </sheetData>
  <sortState ref="B73:AL238">
    <sortCondition ref="H1:H1048576"/>
    <sortCondition ref="M1:M1048576"/>
  </sortState>
  <mergeCells count="2">
    <mergeCell ref="B3:D3"/>
    <mergeCell ref="M2:M3"/>
  </mergeCells>
  <conditionalFormatting sqref="B118:B155 B5:B111">
    <cfRule type="cellIs" dxfId="1258" priority="96" operator="equal">
      <formula>"closed"</formula>
    </cfRule>
  </conditionalFormatting>
  <conditionalFormatting sqref="B112">
    <cfRule type="cellIs" dxfId="1257" priority="92" operator="equal">
      <formula>"closed"</formula>
    </cfRule>
  </conditionalFormatting>
  <conditionalFormatting sqref="B113">
    <cfRule type="cellIs" dxfId="1256" priority="91" operator="equal">
      <formula>"closed"</formula>
    </cfRule>
  </conditionalFormatting>
  <conditionalFormatting sqref="B114:B116">
    <cfRule type="cellIs" dxfId="1255" priority="90" operator="equal">
      <formula>"closed"</formula>
    </cfRule>
  </conditionalFormatting>
  <conditionalFormatting sqref="B117">
    <cfRule type="cellIs" dxfId="1254" priority="89" operator="equal">
      <formula>"closed"</formula>
    </cfRule>
  </conditionalFormatting>
  <conditionalFormatting sqref="AA4:AA155">
    <cfRule type="cellIs" dxfId="1253" priority="85" operator="equal">
      <formula>"RRD"</formula>
    </cfRule>
    <cfRule type="cellIs" dxfId="1252" priority="86" operator="equal">
      <formula>"IP"</formula>
    </cfRule>
    <cfRule type="cellIs" dxfId="1251" priority="87" operator="equal">
      <formula>"IRRC"</formula>
    </cfRule>
  </conditionalFormatting>
  <conditionalFormatting sqref="AA156:AA205 AA237 AA243 AA259 AA262 AA249">
    <cfRule type="cellIs" dxfId="1250" priority="62" operator="equal">
      <formula>"RRD"</formula>
    </cfRule>
    <cfRule type="cellIs" dxfId="1249" priority="63" operator="equal">
      <formula>"IP"</formula>
    </cfRule>
    <cfRule type="cellIs" dxfId="1248" priority="64" operator="equal">
      <formula>"IRRC"</formula>
    </cfRule>
  </conditionalFormatting>
  <conditionalFormatting sqref="AA206">
    <cfRule type="cellIs" dxfId="1247" priority="58" operator="equal">
      <formula>"RRD"</formula>
    </cfRule>
    <cfRule type="cellIs" dxfId="1246" priority="59" operator="equal">
      <formula>"IP"</formula>
    </cfRule>
    <cfRule type="cellIs" dxfId="1245" priority="60" operator="equal">
      <formula>"IRRC"</formula>
    </cfRule>
  </conditionalFormatting>
  <conditionalFormatting sqref="AA208 AA210 AA212">
    <cfRule type="cellIs" dxfId="1244" priority="21" operator="equal">
      <formula>"RRD"</formula>
    </cfRule>
    <cfRule type="cellIs" dxfId="1243" priority="22" operator="equal">
      <formula>"IP"</formula>
    </cfRule>
    <cfRule type="cellIs" dxfId="1242" priority="23" operator="equal">
      <formula>"IRRC"</formula>
    </cfRule>
  </conditionalFormatting>
  <conditionalFormatting sqref="AA207 AA209 AA211 AA213">
    <cfRule type="cellIs" dxfId="1241" priority="25" operator="equal">
      <formula>"RRD"</formula>
    </cfRule>
    <cfRule type="cellIs" dxfId="1240" priority="26" operator="equal">
      <formula>"IP"</formula>
    </cfRule>
    <cfRule type="cellIs" dxfId="1239" priority="27" operator="equal">
      <formula>"IRRC"</formula>
    </cfRule>
  </conditionalFormatting>
  <pageMargins left="0.7" right="0.7" top="0.75" bottom="0.75" header="0.3" footer="0.3"/>
  <pageSetup scale="8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X173"/>
  <sheetViews>
    <sheetView showGridLines="0" showZeros="0" zoomScale="90" zoomScaleNormal="90" zoomScaleSheetLayoutView="85" workbookViewId="0">
      <pane xSplit="7" ySplit="1" topLeftCell="H2" activePane="bottomRight" state="frozen"/>
      <selection pane="topRight" activeCell="L1" sqref="L1"/>
      <selection pane="bottomLeft" activeCell="A2" sqref="A2"/>
      <selection pane="bottomRight" activeCell="K151" sqref="K151"/>
    </sheetView>
  </sheetViews>
  <sheetFormatPr defaultColWidth="9.140625" defaultRowHeight="12" x14ac:dyDescent="0.2"/>
  <cols>
    <col min="1" max="2" width="9.140625" style="499"/>
    <col min="3" max="3" width="9.42578125" style="599" customWidth="1"/>
    <col min="4" max="4" width="33.42578125" style="600" customWidth="1"/>
    <col min="5" max="5" width="15.85546875" style="600" customWidth="1"/>
    <col min="6" max="6" width="7.85546875" style="601" customWidth="1"/>
    <col min="7" max="7" width="8.5703125" style="499" customWidth="1"/>
    <col min="8" max="8" width="10.28515625" style="602" customWidth="1"/>
    <col min="9" max="9" width="11.28515625" style="603" customWidth="1"/>
    <col min="10" max="11" width="10.28515625" style="603" customWidth="1"/>
    <col min="12" max="12" width="15.140625" style="604" customWidth="1"/>
    <col min="13" max="13" width="10.28515625" style="511" customWidth="1"/>
    <col min="14" max="14" width="11.140625" style="512" customWidth="1"/>
    <col min="15" max="16" width="10.28515625" style="512" customWidth="1"/>
    <col min="17" max="17" width="13.85546875" style="512" customWidth="1"/>
    <col min="18" max="18" width="12.28515625" style="609" customWidth="1"/>
    <col min="19" max="19" width="11.28515625" style="610" customWidth="1"/>
    <col min="20" max="20" width="12.42578125" style="512" customWidth="1"/>
    <col min="21" max="21" width="13" style="512" customWidth="1"/>
    <col min="22" max="22" width="9.5703125" style="512" customWidth="1"/>
    <col min="23" max="23" width="13.7109375" style="512" customWidth="1"/>
    <col min="24" max="24" width="12.28515625" style="499" customWidth="1"/>
    <col min="25" max="253" width="9.140625" style="499"/>
    <col min="254" max="254" width="9.42578125" style="499" customWidth="1"/>
    <col min="255" max="255" width="31.42578125" style="499" customWidth="1"/>
    <col min="256" max="261" width="0" style="499" hidden="1" customWidth="1"/>
    <col min="262" max="262" width="8.7109375" style="499" customWidth="1"/>
    <col min="263" max="263" width="8.140625" style="499" customWidth="1"/>
    <col min="264" max="264" width="14.42578125" style="499" customWidth="1"/>
    <col min="265" max="265" width="13.28515625" style="499" customWidth="1"/>
    <col min="266" max="266" width="9.7109375" style="499" customWidth="1"/>
    <col min="267" max="267" width="13.5703125" style="499" customWidth="1"/>
    <col min="268" max="268" width="10.5703125" style="499" customWidth="1"/>
    <col min="269" max="269" width="11.28515625" style="499" customWidth="1"/>
    <col min="270" max="270" width="8.7109375" style="499" customWidth="1"/>
    <col min="271" max="271" width="9" style="499" customWidth="1"/>
    <col min="272" max="272" width="6.7109375" style="499" customWidth="1"/>
    <col min="273" max="273" width="11.42578125" style="499" customWidth="1"/>
    <col min="274" max="274" width="12.28515625" style="499" customWidth="1"/>
    <col min="275" max="275" width="11.28515625" style="499" customWidth="1"/>
    <col min="276" max="276" width="12.42578125" style="499" customWidth="1"/>
    <col min="277" max="277" width="13" style="499" customWidth="1"/>
    <col min="278" max="278" width="9.5703125" style="499" customWidth="1"/>
    <col min="279" max="279" width="11.42578125" style="499" customWidth="1"/>
    <col min="280" max="509" width="9.140625" style="499"/>
    <col min="510" max="510" width="9.42578125" style="499" customWidth="1"/>
    <col min="511" max="511" width="31.42578125" style="499" customWidth="1"/>
    <col min="512" max="517" width="0" style="499" hidden="1" customWidth="1"/>
    <col min="518" max="518" width="8.7109375" style="499" customWidth="1"/>
    <col min="519" max="519" width="8.140625" style="499" customWidth="1"/>
    <col min="520" max="520" width="14.42578125" style="499" customWidth="1"/>
    <col min="521" max="521" width="13.28515625" style="499" customWidth="1"/>
    <col min="522" max="522" width="9.7109375" style="499" customWidth="1"/>
    <col min="523" max="523" width="13.5703125" style="499" customWidth="1"/>
    <col min="524" max="524" width="10.5703125" style="499" customWidth="1"/>
    <col min="525" max="525" width="11.28515625" style="499" customWidth="1"/>
    <col min="526" max="526" width="8.7109375" style="499" customWidth="1"/>
    <col min="527" max="527" width="9" style="499" customWidth="1"/>
    <col min="528" max="528" width="6.7109375" style="499" customWidth="1"/>
    <col min="529" max="529" width="11.42578125" style="499" customWidth="1"/>
    <col min="530" max="530" width="12.28515625" style="499" customWidth="1"/>
    <col min="531" max="531" width="11.28515625" style="499" customWidth="1"/>
    <col min="532" max="532" width="12.42578125" style="499" customWidth="1"/>
    <col min="533" max="533" width="13" style="499" customWidth="1"/>
    <col min="534" max="534" width="9.5703125" style="499" customWidth="1"/>
    <col min="535" max="535" width="11.42578125" style="499" customWidth="1"/>
    <col min="536" max="765" width="9.140625" style="499"/>
    <col min="766" max="766" width="9.42578125" style="499" customWidth="1"/>
    <col min="767" max="767" width="31.42578125" style="499" customWidth="1"/>
    <col min="768" max="773" width="0" style="499" hidden="1" customWidth="1"/>
    <col min="774" max="774" width="8.7109375" style="499" customWidth="1"/>
    <col min="775" max="775" width="8.140625" style="499" customWidth="1"/>
    <col min="776" max="776" width="14.42578125" style="499" customWidth="1"/>
    <col min="777" max="777" width="13.28515625" style="499" customWidth="1"/>
    <col min="778" max="778" width="9.7109375" style="499" customWidth="1"/>
    <col min="779" max="779" width="13.5703125" style="499" customWidth="1"/>
    <col min="780" max="780" width="10.5703125" style="499" customWidth="1"/>
    <col min="781" max="781" width="11.28515625" style="499" customWidth="1"/>
    <col min="782" max="782" width="8.7109375" style="499" customWidth="1"/>
    <col min="783" max="783" width="9" style="499" customWidth="1"/>
    <col min="784" max="784" width="6.7109375" style="499" customWidth="1"/>
    <col min="785" max="785" width="11.42578125" style="499" customWidth="1"/>
    <col min="786" max="786" width="12.28515625" style="499" customWidth="1"/>
    <col min="787" max="787" width="11.28515625" style="499" customWidth="1"/>
    <col min="788" max="788" width="12.42578125" style="499" customWidth="1"/>
    <col min="789" max="789" width="13" style="499" customWidth="1"/>
    <col min="790" max="790" width="9.5703125" style="499" customWidth="1"/>
    <col min="791" max="791" width="11.42578125" style="499" customWidth="1"/>
    <col min="792" max="1021" width="9.140625" style="499"/>
    <col min="1022" max="1022" width="9.42578125" style="499" customWidth="1"/>
    <col min="1023" max="1023" width="31.42578125" style="499" customWidth="1"/>
    <col min="1024" max="1029" width="0" style="499" hidden="1" customWidth="1"/>
    <col min="1030" max="1030" width="8.7109375" style="499" customWidth="1"/>
    <col min="1031" max="1031" width="8.140625" style="499" customWidth="1"/>
    <col min="1032" max="1032" width="14.42578125" style="499" customWidth="1"/>
    <col min="1033" max="1033" width="13.28515625" style="499" customWidth="1"/>
    <col min="1034" max="1034" width="9.7109375" style="499" customWidth="1"/>
    <col min="1035" max="1035" width="13.5703125" style="499" customWidth="1"/>
    <col min="1036" max="1036" width="10.5703125" style="499" customWidth="1"/>
    <col min="1037" max="1037" width="11.28515625" style="499" customWidth="1"/>
    <col min="1038" max="1038" width="8.7109375" style="499" customWidth="1"/>
    <col min="1039" max="1039" width="9" style="499" customWidth="1"/>
    <col min="1040" max="1040" width="6.7109375" style="499" customWidth="1"/>
    <col min="1041" max="1041" width="11.42578125" style="499" customWidth="1"/>
    <col min="1042" max="1042" width="12.28515625" style="499" customWidth="1"/>
    <col min="1043" max="1043" width="11.28515625" style="499" customWidth="1"/>
    <col min="1044" max="1044" width="12.42578125" style="499" customWidth="1"/>
    <col min="1045" max="1045" width="13" style="499" customWidth="1"/>
    <col min="1046" max="1046" width="9.5703125" style="499" customWidth="1"/>
    <col min="1047" max="1047" width="11.42578125" style="499" customWidth="1"/>
    <col min="1048" max="1277" width="9.140625" style="499"/>
    <col min="1278" max="1278" width="9.42578125" style="499" customWidth="1"/>
    <col min="1279" max="1279" width="31.42578125" style="499" customWidth="1"/>
    <col min="1280" max="1285" width="0" style="499" hidden="1" customWidth="1"/>
    <col min="1286" max="1286" width="8.7109375" style="499" customWidth="1"/>
    <col min="1287" max="1287" width="8.140625" style="499" customWidth="1"/>
    <col min="1288" max="1288" width="14.42578125" style="499" customWidth="1"/>
    <col min="1289" max="1289" width="13.28515625" style="499" customWidth="1"/>
    <col min="1290" max="1290" width="9.7109375" style="499" customWidth="1"/>
    <col min="1291" max="1291" width="13.5703125" style="499" customWidth="1"/>
    <col min="1292" max="1292" width="10.5703125" style="499" customWidth="1"/>
    <col min="1293" max="1293" width="11.28515625" style="499" customWidth="1"/>
    <col min="1294" max="1294" width="8.7109375" style="499" customWidth="1"/>
    <col min="1295" max="1295" width="9" style="499" customWidth="1"/>
    <col min="1296" max="1296" width="6.7109375" style="499" customWidth="1"/>
    <col min="1297" max="1297" width="11.42578125" style="499" customWidth="1"/>
    <col min="1298" max="1298" width="12.28515625" style="499" customWidth="1"/>
    <col min="1299" max="1299" width="11.28515625" style="499" customWidth="1"/>
    <col min="1300" max="1300" width="12.42578125" style="499" customWidth="1"/>
    <col min="1301" max="1301" width="13" style="499" customWidth="1"/>
    <col min="1302" max="1302" width="9.5703125" style="499" customWidth="1"/>
    <col min="1303" max="1303" width="11.42578125" style="499" customWidth="1"/>
    <col min="1304" max="1533" width="9.140625" style="499"/>
    <col min="1534" max="1534" width="9.42578125" style="499" customWidth="1"/>
    <col min="1535" max="1535" width="31.42578125" style="499" customWidth="1"/>
    <col min="1536" max="1541" width="0" style="499" hidden="1" customWidth="1"/>
    <col min="1542" max="1542" width="8.7109375" style="499" customWidth="1"/>
    <col min="1543" max="1543" width="8.140625" style="499" customWidth="1"/>
    <col min="1544" max="1544" width="14.42578125" style="499" customWidth="1"/>
    <col min="1545" max="1545" width="13.28515625" style="499" customWidth="1"/>
    <col min="1546" max="1546" width="9.7109375" style="499" customWidth="1"/>
    <col min="1547" max="1547" width="13.5703125" style="499" customWidth="1"/>
    <col min="1548" max="1548" width="10.5703125" style="499" customWidth="1"/>
    <col min="1549" max="1549" width="11.28515625" style="499" customWidth="1"/>
    <col min="1550" max="1550" width="8.7109375" style="499" customWidth="1"/>
    <col min="1551" max="1551" width="9" style="499" customWidth="1"/>
    <col min="1552" max="1552" width="6.7109375" style="499" customWidth="1"/>
    <col min="1553" max="1553" width="11.42578125" style="499" customWidth="1"/>
    <col min="1554" max="1554" width="12.28515625" style="499" customWidth="1"/>
    <col min="1555" max="1555" width="11.28515625" style="499" customWidth="1"/>
    <col min="1556" max="1556" width="12.42578125" style="499" customWidth="1"/>
    <col min="1557" max="1557" width="13" style="499" customWidth="1"/>
    <col min="1558" max="1558" width="9.5703125" style="499" customWidth="1"/>
    <col min="1559" max="1559" width="11.42578125" style="499" customWidth="1"/>
    <col min="1560" max="1789" width="9.140625" style="499"/>
    <col min="1790" max="1790" width="9.42578125" style="499" customWidth="1"/>
    <col min="1791" max="1791" width="31.42578125" style="499" customWidth="1"/>
    <col min="1792" max="1797" width="0" style="499" hidden="1" customWidth="1"/>
    <col min="1798" max="1798" width="8.7109375" style="499" customWidth="1"/>
    <col min="1799" max="1799" width="8.140625" style="499" customWidth="1"/>
    <col min="1800" max="1800" width="14.42578125" style="499" customWidth="1"/>
    <col min="1801" max="1801" width="13.28515625" style="499" customWidth="1"/>
    <col min="1802" max="1802" width="9.7109375" style="499" customWidth="1"/>
    <col min="1803" max="1803" width="13.5703125" style="499" customWidth="1"/>
    <col min="1804" max="1804" width="10.5703125" style="499" customWidth="1"/>
    <col min="1805" max="1805" width="11.28515625" style="499" customWidth="1"/>
    <col min="1806" max="1806" width="8.7109375" style="499" customWidth="1"/>
    <col min="1807" max="1807" width="9" style="499" customWidth="1"/>
    <col min="1808" max="1808" width="6.7109375" style="499" customWidth="1"/>
    <col min="1809" max="1809" width="11.42578125" style="499" customWidth="1"/>
    <col min="1810" max="1810" width="12.28515625" style="499" customWidth="1"/>
    <col min="1811" max="1811" width="11.28515625" style="499" customWidth="1"/>
    <col min="1812" max="1812" width="12.42578125" style="499" customWidth="1"/>
    <col min="1813" max="1813" width="13" style="499" customWidth="1"/>
    <col min="1814" max="1814" width="9.5703125" style="499" customWidth="1"/>
    <col min="1815" max="1815" width="11.42578125" style="499" customWidth="1"/>
    <col min="1816" max="2045" width="9.140625" style="499"/>
    <col min="2046" max="2046" width="9.42578125" style="499" customWidth="1"/>
    <col min="2047" max="2047" width="31.42578125" style="499" customWidth="1"/>
    <col min="2048" max="2053" width="0" style="499" hidden="1" customWidth="1"/>
    <col min="2054" max="2054" width="8.7109375" style="499" customWidth="1"/>
    <col min="2055" max="2055" width="8.140625" style="499" customWidth="1"/>
    <col min="2056" max="2056" width="14.42578125" style="499" customWidth="1"/>
    <col min="2057" max="2057" width="13.28515625" style="499" customWidth="1"/>
    <col min="2058" max="2058" width="9.7109375" style="499" customWidth="1"/>
    <col min="2059" max="2059" width="13.5703125" style="499" customWidth="1"/>
    <col min="2060" max="2060" width="10.5703125" style="499" customWidth="1"/>
    <col min="2061" max="2061" width="11.28515625" style="499" customWidth="1"/>
    <col min="2062" max="2062" width="8.7109375" style="499" customWidth="1"/>
    <col min="2063" max="2063" width="9" style="499" customWidth="1"/>
    <col min="2064" max="2064" width="6.7109375" style="499" customWidth="1"/>
    <col min="2065" max="2065" width="11.42578125" style="499" customWidth="1"/>
    <col min="2066" max="2066" width="12.28515625" style="499" customWidth="1"/>
    <col min="2067" max="2067" width="11.28515625" style="499" customWidth="1"/>
    <col min="2068" max="2068" width="12.42578125" style="499" customWidth="1"/>
    <col min="2069" max="2069" width="13" style="499" customWidth="1"/>
    <col min="2070" max="2070" width="9.5703125" style="499" customWidth="1"/>
    <col min="2071" max="2071" width="11.42578125" style="499" customWidth="1"/>
    <col min="2072" max="2301" width="9.140625" style="499"/>
    <col min="2302" max="2302" width="9.42578125" style="499" customWidth="1"/>
    <col min="2303" max="2303" width="31.42578125" style="499" customWidth="1"/>
    <col min="2304" max="2309" width="0" style="499" hidden="1" customWidth="1"/>
    <col min="2310" max="2310" width="8.7109375" style="499" customWidth="1"/>
    <col min="2311" max="2311" width="8.140625" style="499" customWidth="1"/>
    <col min="2312" max="2312" width="14.42578125" style="499" customWidth="1"/>
    <col min="2313" max="2313" width="13.28515625" style="499" customWidth="1"/>
    <col min="2314" max="2314" width="9.7109375" style="499" customWidth="1"/>
    <col min="2315" max="2315" width="13.5703125" style="499" customWidth="1"/>
    <col min="2316" max="2316" width="10.5703125" style="499" customWidth="1"/>
    <col min="2317" max="2317" width="11.28515625" style="499" customWidth="1"/>
    <col min="2318" max="2318" width="8.7109375" style="499" customWidth="1"/>
    <col min="2319" max="2319" width="9" style="499" customWidth="1"/>
    <col min="2320" max="2320" width="6.7109375" style="499" customWidth="1"/>
    <col min="2321" max="2321" width="11.42578125" style="499" customWidth="1"/>
    <col min="2322" max="2322" width="12.28515625" style="499" customWidth="1"/>
    <col min="2323" max="2323" width="11.28515625" style="499" customWidth="1"/>
    <col min="2324" max="2324" width="12.42578125" style="499" customWidth="1"/>
    <col min="2325" max="2325" width="13" style="499" customWidth="1"/>
    <col min="2326" max="2326" width="9.5703125" style="499" customWidth="1"/>
    <col min="2327" max="2327" width="11.42578125" style="499" customWidth="1"/>
    <col min="2328" max="2557" width="9.140625" style="499"/>
    <col min="2558" max="2558" width="9.42578125" style="499" customWidth="1"/>
    <col min="2559" max="2559" width="31.42578125" style="499" customWidth="1"/>
    <col min="2560" max="2565" width="0" style="499" hidden="1" customWidth="1"/>
    <col min="2566" max="2566" width="8.7109375" style="499" customWidth="1"/>
    <col min="2567" max="2567" width="8.140625" style="499" customWidth="1"/>
    <col min="2568" max="2568" width="14.42578125" style="499" customWidth="1"/>
    <col min="2569" max="2569" width="13.28515625" style="499" customWidth="1"/>
    <col min="2570" max="2570" width="9.7109375" style="499" customWidth="1"/>
    <col min="2571" max="2571" width="13.5703125" style="499" customWidth="1"/>
    <col min="2572" max="2572" width="10.5703125" style="499" customWidth="1"/>
    <col min="2573" max="2573" width="11.28515625" style="499" customWidth="1"/>
    <col min="2574" max="2574" width="8.7109375" style="499" customWidth="1"/>
    <col min="2575" max="2575" width="9" style="499" customWidth="1"/>
    <col min="2576" max="2576" width="6.7109375" style="499" customWidth="1"/>
    <col min="2577" max="2577" width="11.42578125" style="499" customWidth="1"/>
    <col min="2578" max="2578" width="12.28515625" style="499" customWidth="1"/>
    <col min="2579" max="2579" width="11.28515625" style="499" customWidth="1"/>
    <col min="2580" max="2580" width="12.42578125" style="499" customWidth="1"/>
    <col min="2581" max="2581" width="13" style="499" customWidth="1"/>
    <col min="2582" max="2582" width="9.5703125" style="499" customWidth="1"/>
    <col min="2583" max="2583" width="11.42578125" style="499" customWidth="1"/>
    <col min="2584" max="2813" width="9.140625" style="499"/>
    <col min="2814" max="2814" width="9.42578125" style="499" customWidth="1"/>
    <col min="2815" max="2815" width="31.42578125" style="499" customWidth="1"/>
    <col min="2816" max="2821" width="0" style="499" hidden="1" customWidth="1"/>
    <col min="2822" max="2822" width="8.7109375" style="499" customWidth="1"/>
    <col min="2823" max="2823" width="8.140625" style="499" customWidth="1"/>
    <col min="2824" max="2824" width="14.42578125" style="499" customWidth="1"/>
    <col min="2825" max="2825" width="13.28515625" style="499" customWidth="1"/>
    <col min="2826" max="2826" width="9.7109375" style="499" customWidth="1"/>
    <col min="2827" max="2827" width="13.5703125" style="499" customWidth="1"/>
    <col min="2828" max="2828" width="10.5703125" style="499" customWidth="1"/>
    <col min="2829" max="2829" width="11.28515625" style="499" customWidth="1"/>
    <col min="2830" max="2830" width="8.7109375" style="499" customWidth="1"/>
    <col min="2831" max="2831" width="9" style="499" customWidth="1"/>
    <col min="2832" max="2832" width="6.7109375" style="499" customWidth="1"/>
    <col min="2833" max="2833" width="11.42578125" style="499" customWidth="1"/>
    <col min="2834" max="2834" width="12.28515625" style="499" customWidth="1"/>
    <col min="2835" max="2835" width="11.28515625" style="499" customWidth="1"/>
    <col min="2836" max="2836" width="12.42578125" style="499" customWidth="1"/>
    <col min="2837" max="2837" width="13" style="499" customWidth="1"/>
    <col min="2838" max="2838" width="9.5703125" style="499" customWidth="1"/>
    <col min="2839" max="2839" width="11.42578125" style="499" customWidth="1"/>
    <col min="2840" max="3069" width="9.140625" style="499"/>
    <col min="3070" max="3070" width="9.42578125" style="499" customWidth="1"/>
    <col min="3071" max="3071" width="31.42578125" style="499" customWidth="1"/>
    <col min="3072" max="3077" width="0" style="499" hidden="1" customWidth="1"/>
    <col min="3078" max="3078" width="8.7109375" style="499" customWidth="1"/>
    <col min="3079" max="3079" width="8.140625" style="499" customWidth="1"/>
    <col min="3080" max="3080" width="14.42578125" style="499" customWidth="1"/>
    <col min="3081" max="3081" width="13.28515625" style="499" customWidth="1"/>
    <col min="3082" max="3082" width="9.7109375" style="499" customWidth="1"/>
    <col min="3083" max="3083" width="13.5703125" style="499" customWidth="1"/>
    <col min="3084" max="3084" width="10.5703125" style="499" customWidth="1"/>
    <col min="3085" max="3085" width="11.28515625" style="499" customWidth="1"/>
    <col min="3086" max="3086" width="8.7109375" style="499" customWidth="1"/>
    <col min="3087" max="3087" width="9" style="499" customWidth="1"/>
    <col min="3088" max="3088" width="6.7109375" style="499" customWidth="1"/>
    <col min="3089" max="3089" width="11.42578125" style="499" customWidth="1"/>
    <col min="3090" max="3090" width="12.28515625" style="499" customWidth="1"/>
    <col min="3091" max="3091" width="11.28515625" style="499" customWidth="1"/>
    <col min="3092" max="3092" width="12.42578125" style="499" customWidth="1"/>
    <col min="3093" max="3093" width="13" style="499" customWidth="1"/>
    <col min="3094" max="3094" width="9.5703125" style="499" customWidth="1"/>
    <col min="3095" max="3095" width="11.42578125" style="499" customWidth="1"/>
    <col min="3096" max="3325" width="9.140625" style="499"/>
    <col min="3326" max="3326" width="9.42578125" style="499" customWidth="1"/>
    <col min="3327" max="3327" width="31.42578125" style="499" customWidth="1"/>
    <col min="3328" max="3333" width="0" style="499" hidden="1" customWidth="1"/>
    <col min="3334" max="3334" width="8.7109375" style="499" customWidth="1"/>
    <col min="3335" max="3335" width="8.140625" style="499" customWidth="1"/>
    <col min="3336" max="3336" width="14.42578125" style="499" customWidth="1"/>
    <col min="3337" max="3337" width="13.28515625" style="499" customWidth="1"/>
    <col min="3338" max="3338" width="9.7109375" style="499" customWidth="1"/>
    <col min="3339" max="3339" width="13.5703125" style="499" customWidth="1"/>
    <col min="3340" max="3340" width="10.5703125" style="499" customWidth="1"/>
    <col min="3341" max="3341" width="11.28515625" style="499" customWidth="1"/>
    <col min="3342" max="3342" width="8.7109375" style="499" customWidth="1"/>
    <col min="3343" max="3343" width="9" style="499" customWidth="1"/>
    <col min="3344" max="3344" width="6.7109375" style="499" customWidth="1"/>
    <col min="3345" max="3345" width="11.42578125" style="499" customWidth="1"/>
    <col min="3346" max="3346" width="12.28515625" style="499" customWidth="1"/>
    <col min="3347" max="3347" width="11.28515625" style="499" customWidth="1"/>
    <col min="3348" max="3348" width="12.42578125" style="499" customWidth="1"/>
    <col min="3349" max="3349" width="13" style="499" customWidth="1"/>
    <col min="3350" max="3350" width="9.5703125" style="499" customWidth="1"/>
    <col min="3351" max="3351" width="11.42578125" style="499" customWidth="1"/>
    <col min="3352" max="3581" width="9.140625" style="499"/>
    <col min="3582" max="3582" width="9.42578125" style="499" customWidth="1"/>
    <col min="3583" max="3583" width="31.42578125" style="499" customWidth="1"/>
    <col min="3584" max="3589" width="0" style="499" hidden="1" customWidth="1"/>
    <col min="3590" max="3590" width="8.7109375" style="499" customWidth="1"/>
    <col min="3591" max="3591" width="8.140625" style="499" customWidth="1"/>
    <col min="3592" max="3592" width="14.42578125" style="499" customWidth="1"/>
    <col min="3593" max="3593" width="13.28515625" style="499" customWidth="1"/>
    <col min="3594" max="3594" width="9.7109375" style="499" customWidth="1"/>
    <col min="3595" max="3595" width="13.5703125" style="499" customWidth="1"/>
    <col min="3596" max="3596" width="10.5703125" style="499" customWidth="1"/>
    <col min="3597" max="3597" width="11.28515625" style="499" customWidth="1"/>
    <col min="3598" max="3598" width="8.7109375" style="499" customWidth="1"/>
    <col min="3599" max="3599" width="9" style="499" customWidth="1"/>
    <col min="3600" max="3600" width="6.7109375" style="499" customWidth="1"/>
    <col min="3601" max="3601" width="11.42578125" style="499" customWidth="1"/>
    <col min="3602" max="3602" width="12.28515625" style="499" customWidth="1"/>
    <col min="3603" max="3603" width="11.28515625" style="499" customWidth="1"/>
    <col min="3604" max="3604" width="12.42578125" style="499" customWidth="1"/>
    <col min="3605" max="3605" width="13" style="499" customWidth="1"/>
    <col min="3606" max="3606" width="9.5703125" style="499" customWidth="1"/>
    <col min="3607" max="3607" width="11.42578125" style="499" customWidth="1"/>
    <col min="3608" max="3837" width="9.140625" style="499"/>
    <col min="3838" max="3838" width="9.42578125" style="499" customWidth="1"/>
    <col min="3839" max="3839" width="31.42578125" style="499" customWidth="1"/>
    <col min="3840" max="3845" width="0" style="499" hidden="1" customWidth="1"/>
    <col min="3846" max="3846" width="8.7109375" style="499" customWidth="1"/>
    <col min="3847" max="3847" width="8.140625" style="499" customWidth="1"/>
    <col min="3848" max="3848" width="14.42578125" style="499" customWidth="1"/>
    <col min="3849" max="3849" width="13.28515625" style="499" customWidth="1"/>
    <col min="3850" max="3850" width="9.7109375" style="499" customWidth="1"/>
    <col min="3851" max="3851" width="13.5703125" style="499" customWidth="1"/>
    <col min="3852" max="3852" width="10.5703125" style="499" customWidth="1"/>
    <col min="3853" max="3853" width="11.28515625" style="499" customWidth="1"/>
    <col min="3854" max="3854" width="8.7109375" style="499" customWidth="1"/>
    <col min="3855" max="3855" width="9" style="499" customWidth="1"/>
    <col min="3856" max="3856" width="6.7109375" style="499" customWidth="1"/>
    <col min="3857" max="3857" width="11.42578125" style="499" customWidth="1"/>
    <col min="3858" max="3858" width="12.28515625" style="499" customWidth="1"/>
    <col min="3859" max="3859" width="11.28515625" style="499" customWidth="1"/>
    <col min="3860" max="3860" width="12.42578125" style="499" customWidth="1"/>
    <col min="3861" max="3861" width="13" style="499" customWidth="1"/>
    <col min="3862" max="3862" width="9.5703125" style="499" customWidth="1"/>
    <col min="3863" max="3863" width="11.42578125" style="499" customWidth="1"/>
    <col min="3864" max="4093" width="9.140625" style="499"/>
    <col min="4094" max="4094" width="9.42578125" style="499" customWidth="1"/>
    <col min="4095" max="4095" width="31.42578125" style="499" customWidth="1"/>
    <col min="4096" max="4101" width="0" style="499" hidden="1" customWidth="1"/>
    <col min="4102" max="4102" width="8.7109375" style="499" customWidth="1"/>
    <col min="4103" max="4103" width="8.140625" style="499" customWidth="1"/>
    <col min="4104" max="4104" width="14.42578125" style="499" customWidth="1"/>
    <col min="4105" max="4105" width="13.28515625" style="499" customWidth="1"/>
    <col min="4106" max="4106" width="9.7109375" style="499" customWidth="1"/>
    <col min="4107" max="4107" width="13.5703125" style="499" customWidth="1"/>
    <col min="4108" max="4108" width="10.5703125" style="499" customWidth="1"/>
    <col min="4109" max="4109" width="11.28515625" style="499" customWidth="1"/>
    <col min="4110" max="4110" width="8.7109375" style="499" customWidth="1"/>
    <col min="4111" max="4111" width="9" style="499" customWidth="1"/>
    <col min="4112" max="4112" width="6.7109375" style="499" customWidth="1"/>
    <col min="4113" max="4113" width="11.42578125" style="499" customWidth="1"/>
    <col min="4114" max="4114" width="12.28515625" style="499" customWidth="1"/>
    <col min="4115" max="4115" width="11.28515625" style="499" customWidth="1"/>
    <col min="4116" max="4116" width="12.42578125" style="499" customWidth="1"/>
    <col min="4117" max="4117" width="13" style="499" customWidth="1"/>
    <col min="4118" max="4118" width="9.5703125" style="499" customWidth="1"/>
    <col min="4119" max="4119" width="11.42578125" style="499" customWidth="1"/>
    <col min="4120" max="4349" width="9.140625" style="499"/>
    <col min="4350" max="4350" width="9.42578125" style="499" customWidth="1"/>
    <col min="4351" max="4351" width="31.42578125" style="499" customWidth="1"/>
    <col min="4352" max="4357" width="0" style="499" hidden="1" customWidth="1"/>
    <col min="4358" max="4358" width="8.7109375" style="499" customWidth="1"/>
    <col min="4359" max="4359" width="8.140625" style="499" customWidth="1"/>
    <col min="4360" max="4360" width="14.42578125" style="499" customWidth="1"/>
    <col min="4361" max="4361" width="13.28515625" style="499" customWidth="1"/>
    <col min="4362" max="4362" width="9.7109375" style="499" customWidth="1"/>
    <col min="4363" max="4363" width="13.5703125" style="499" customWidth="1"/>
    <col min="4364" max="4364" width="10.5703125" style="499" customWidth="1"/>
    <col min="4365" max="4365" width="11.28515625" style="499" customWidth="1"/>
    <col min="4366" max="4366" width="8.7109375" style="499" customWidth="1"/>
    <col min="4367" max="4367" width="9" style="499" customWidth="1"/>
    <col min="4368" max="4368" width="6.7109375" style="499" customWidth="1"/>
    <col min="4369" max="4369" width="11.42578125" style="499" customWidth="1"/>
    <col min="4370" max="4370" width="12.28515625" style="499" customWidth="1"/>
    <col min="4371" max="4371" width="11.28515625" style="499" customWidth="1"/>
    <col min="4372" max="4372" width="12.42578125" style="499" customWidth="1"/>
    <col min="4373" max="4373" width="13" style="499" customWidth="1"/>
    <col min="4374" max="4374" width="9.5703125" style="499" customWidth="1"/>
    <col min="4375" max="4375" width="11.42578125" style="499" customWidth="1"/>
    <col min="4376" max="4605" width="9.140625" style="499"/>
    <col min="4606" max="4606" width="9.42578125" style="499" customWidth="1"/>
    <col min="4607" max="4607" width="31.42578125" style="499" customWidth="1"/>
    <col min="4608" max="4613" width="0" style="499" hidden="1" customWidth="1"/>
    <col min="4614" max="4614" width="8.7109375" style="499" customWidth="1"/>
    <col min="4615" max="4615" width="8.140625" style="499" customWidth="1"/>
    <col min="4616" max="4616" width="14.42578125" style="499" customWidth="1"/>
    <col min="4617" max="4617" width="13.28515625" style="499" customWidth="1"/>
    <col min="4618" max="4618" width="9.7109375" style="499" customWidth="1"/>
    <col min="4619" max="4619" width="13.5703125" style="499" customWidth="1"/>
    <col min="4620" max="4620" width="10.5703125" style="499" customWidth="1"/>
    <col min="4621" max="4621" width="11.28515625" style="499" customWidth="1"/>
    <col min="4622" max="4622" width="8.7109375" style="499" customWidth="1"/>
    <col min="4623" max="4623" width="9" style="499" customWidth="1"/>
    <col min="4624" max="4624" width="6.7109375" style="499" customWidth="1"/>
    <col min="4625" max="4625" width="11.42578125" style="499" customWidth="1"/>
    <col min="4626" max="4626" width="12.28515625" style="499" customWidth="1"/>
    <col min="4627" max="4627" width="11.28515625" style="499" customWidth="1"/>
    <col min="4628" max="4628" width="12.42578125" style="499" customWidth="1"/>
    <col min="4629" max="4629" width="13" style="499" customWidth="1"/>
    <col min="4630" max="4630" width="9.5703125" style="499" customWidth="1"/>
    <col min="4631" max="4631" width="11.42578125" style="499" customWidth="1"/>
    <col min="4632" max="4861" width="9.140625" style="499"/>
    <col min="4862" max="4862" width="9.42578125" style="499" customWidth="1"/>
    <col min="4863" max="4863" width="31.42578125" style="499" customWidth="1"/>
    <col min="4864" max="4869" width="0" style="499" hidden="1" customWidth="1"/>
    <col min="4870" max="4870" width="8.7109375" style="499" customWidth="1"/>
    <col min="4871" max="4871" width="8.140625" style="499" customWidth="1"/>
    <col min="4872" max="4872" width="14.42578125" style="499" customWidth="1"/>
    <col min="4873" max="4873" width="13.28515625" style="499" customWidth="1"/>
    <col min="4874" max="4874" width="9.7109375" style="499" customWidth="1"/>
    <col min="4875" max="4875" width="13.5703125" style="499" customWidth="1"/>
    <col min="4876" max="4876" width="10.5703125" style="499" customWidth="1"/>
    <col min="4877" max="4877" width="11.28515625" style="499" customWidth="1"/>
    <col min="4878" max="4878" width="8.7109375" style="499" customWidth="1"/>
    <col min="4879" max="4879" width="9" style="499" customWidth="1"/>
    <col min="4880" max="4880" width="6.7109375" style="499" customWidth="1"/>
    <col min="4881" max="4881" width="11.42578125" style="499" customWidth="1"/>
    <col min="4882" max="4882" width="12.28515625" style="499" customWidth="1"/>
    <col min="4883" max="4883" width="11.28515625" style="499" customWidth="1"/>
    <col min="4884" max="4884" width="12.42578125" style="499" customWidth="1"/>
    <col min="4885" max="4885" width="13" style="499" customWidth="1"/>
    <col min="4886" max="4886" width="9.5703125" style="499" customWidth="1"/>
    <col min="4887" max="4887" width="11.42578125" style="499" customWidth="1"/>
    <col min="4888" max="5117" width="9.140625" style="499"/>
    <col min="5118" max="5118" width="9.42578125" style="499" customWidth="1"/>
    <col min="5119" max="5119" width="31.42578125" style="499" customWidth="1"/>
    <col min="5120" max="5125" width="0" style="499" hidden="1" customWidth="1"/>
    <col min="5126" max="5126" width="8.7109375" style="499" customWidth="1"/>
    <col min="5127" max="5127" width="8.140625" style="499" customWidth="1"/>
    <col min="5128" max="5128" width="14.42578125" style="499" customWidth="1"/>
    <col min="5129" max="5129" width="13.28515625" style="499" customWidth="1"/>
    <col min="5130" max="5130" width="9.7109375" style="499" customWidth="1"/>
    <col min="5131" max="5131" width="13.5703125" style="499" customWidth="1"/>
    <col min="5132" max="5132" width="10.5703125" style="499" customWidth="1"/>
    <col min="5133" max="5133" width="11.28515625" style="499" customWidth="1"/>
    <col min="5134" max="5134" width="8.7109375" style="499" customWidth="1"/>
    <col min="5135" max="5135" width="9" style="499" customWidth="1"/>
    <col min="5136" max="5136" width="6.7109375" style="499" customWidth="1"/>
    <col min="5137" max="5137" width="11.42578125" style="499" customWidth="1"/>
    <col min="5138" max="5138" width="12.28515625" style="499" customWidth="1"/>
    <col min="5139" max="5139" width="11.28515625" style="499" customWidth="1"/>
    <col min="5140" max="5140" width="12.42578125" style="499" customWidth="1"/>
    <col min="5141" max="5141" width="13" style="499" customWidth="1"/>
    <col min="5142" max="5142" width="9.5703125" style="499" customWidth="1"/>
    <col min="5143" max="5143" width="11.42578125" style="499" customWidth="1"/>
    <col min="5144" max="5373" width="9.140625" style="499"/>
    <col min="5374" max="5374" width="9.42578125" style="499" customWidth="1"/>
    <col min="5375" max="5375" width="31.42578125" style="499" customWidth="1"/>
    <col min="5376" max="5381" width="0" style="499" hidden="1" customWidth="1"/>
    <col min="5382" max="5382" width="8.7109375" style="499" customWidth="1"/>
    <col min="5383" max="5383" width="8.140625" style="499" customWidth="1"/>
    <col min="5384" max="5384" width="14.42578125" style="499" customWidth="1"/>
    <col min="5385" max="5385" width="13.28515625" style="499" customWidth="1"/>
    <col min="5386" max="5386" width="9.7109375" style="499" customWidth="1"/>
    <col min="5387" max="5387" width="13.5703125" style="499" customWidth="1"/>
    <col min="5388" max="5388" width="10.5703125" style="499" customWidth="1"/>
    <col min="5389" max="5389" width="11.28515625" style="499" customWidth="1"/>
    <col min="5390" max="5390" width="8.7109375" style="499" customWidth="1"/>
    <col min="5391" max="5391" width="9" style="499" customWidth="1"/>
    <col min="5392" max="5392" width="6.7109375" style="499" customWidth="1"/>
    <col min="5393" max="5393" width="11.42578125" style="499" customWidth="1"/>
    <col min="5394" max="5394" width="12.28515625" style="499" customWidth="1"/>
    <col min="5395" max="5395" width="11.28515625" style="499" customWidth="1"/>
    <col min="5396" max="5396" width="12.42578125" style="499" customWidth="1"/>
    <col min="5397" max="5397" width="13" style="499" customWidth="1"/>
    <col min="5398" max="5398" width="9.5703125" style="499" customWidth="1"/>
    <col min="5399" max="5399" width="11.42578125" style="499" customWidth="1"/>
    <col min="5400" max="5629" width="9.140625" style="499"/>
    <col min="5630" max="5630" width="9.42578125" style="499" customWidth="1"/>
    <col min="5631" max="5631" width="31.42578125" style="499" customWidth="1"/>
    <col min="5632" max="5637" width="0" style="499" hidden="1" customWidth="1"/>
    <col min="5638" max="5638" width="8.7109375" style="499" customWidth="1"/>
    <col min="5639" max="5639" width="8.140625" style="499" customWidth="1"/>
    <col min="5640" max="5640" width="14.42578125" style="499" customWidth="1"/>
    <col min="5641" max="5641" width="13.28515625" style="499" customWidth="1"/>
    <col min="5642" max="5642" width="9.7109375" style="499" customWidth="1"/>
    <col min="5643" max="5643" width="13.5703125" style="499" customWidth="1"/>
    <col min="5644" max="5644" width="10.5703125" style="499" customWidth="1"/>
    <col min="5645" max="5645" width="11.28515625" style="499" customWidth="1"/>
    <col min="5646" max="5646" width="8.7109375" style="499" customWidth="1"/>
    <col min="5647" max="5647" width="9" style="499" customWidth="1"/>
    <col min="5648" max="5648" width="6.7109375" style="499" customWidth="1"/>
    <col min="5649" max="5649" width="11.42578125" style="499" customWidth="1"/>
    <col min="5650" max="5650" width="12.28515625" style="499" customWidth="1"/>
    <col min="5651" max="5651" width="11.28515625" style="499" customWidth="1"/>
    <col min="5652" max="5652" width="12.42578125" style="499" customWidth="1"/>
    <col min="5653" max="5653" width="13" style="499" customWidth="1"/>
    <col min="5654" max="5654" width="9.5703125" style="499" customWidth="1"/>
    <col min="5655" max="5655" width="11.42578125" style="499" customWidth="1"/>
    <col min="5656" max="5885" width="9.140625" style="499"/>
    <col min="5886" max="5886" width="9.42578125" style="499" customWidth="1"/>
    <col min="5887" max="5887" width="31.42578125" style="499" customWidth="1"/>
    <col min="5888" max="5893" width="0" style="499" hidden="1" customWidth="1"/>
    <col min="5894" max="5894" width="8.7109375" style="499" customWidth="1"/>
    <col min="5895" max="5895" width="8.140625" style="499" customWidth="1"/>
    <col min="5896" max="5896" width="14.42578125" style="499" customWidth="1"/>
    <col min="5897" max="5897" width="13.28515625" style="499" customWidth="1"/>
    <col min="5898" max="5898" width="9.7109375" style="499" customWidth="1"/>
    <col min="5899" max="5899" width="13.5703125" style="499" customWidth="1"/>
    <col min="5900" max="5900" width="10.5703125" style="499" customWidth="1"/>
    <col min="5901" max="5901" width="11.28515625" style="499" customWidth="1"/>
    <col min="5902" max="5902" width="8.7109375" style="499" customWidth="1"/>
    <col min="5903" max="5903" width="9" style="499" customWidth="1"/>
    <col min="5904" max="5904" width="6.7109375" style="499" customWidth="1"/>
    <col min="5905" max="5905" width="11.42578125" style="499" customWidth="1"/>
    <col min="5906" max="5906" width="12.28515625" style="499" customWidth="1"/>
    <col min="5907" max="5907" width="11.28515625" style="499" customWidth="1"/>
    <col min="5908" max="5908" width="12.42578125" style="499" customWidth="1"/>
    <col min="5909" max="5909" width="13" style="499" customWidth="1"/>
    <col min="5910" max="5910" width="9.5703125" style="499" customWidth="1"/>
    <col min="5911" max="5911" width="11.42578125" style="499" customWidth="1"/>
    <col min="5912" max="6141" width="9.140625" style="499"/>
    <col min="6142" max="6142" width="9.42578125" style="499" customWidth="1"/>
    <col min="6143" max="6143" width="31.42578125" style="499" customWidth="1"/>
    <col min="6144" max="6149" width="0" style="499" hidden="1" customWidth="1"/>
    <col min="6150" max="6150" width="8.7109375" style="499" customWidth="1"/>
    <col min="6151" max="6151" width="8.140625" style="499" customWidth="1"/>
    <col min="6152" max="6152" width="14.42578125" style="499" customWidth="1"/>
    <col min="6153" max="6153" width="13.28515625" style="499" customWidth="1"/>
    <col min="6154" max="6154" width="9.7109375" style="499" customWidth="1"/>
    <col min="6155" max="6155" width="13.5703125" style="499" customWidth="1"/>
    <col min="6156" max="6156" width="10.5703125" style="499" customWidth="1"/>
    <col min="6157" max="6157" width="11.28515625" style="499" customWidth="1"/>
    <col min="6158" max="6158" width="8.7109375" style="499" customWidth="1"/>
    <col min="6159" max="6159" width="9" style="499" customWidth="1"/>
    <col min="6160" max="6160" width="6.7109375" style="499" customWidth="1"/>
    <col min="6161" max="6161" width="11.42578125" style="499" customWidth="1"/>
    <col min="6162" max="6162" width="12.28515625" style="499" customWidth="1"/>
    <col min="6163" max="6163" width="11.28515625" style="499" customWidth="1"/>
    <col min="6164" max="6164" width="12.42578125" style="499" customWidth="1"/>
    <col min="6165" max="6165" width="13" style="499" customWidth="1"/>
    <col min="6166" max="6166" width="9.5703125" style="499" customWidth="1"/>
    <col min="6167" max="6167" width="11.42578125" style="499" customWidth="1"/>
    <col min="6168" max="6397" width="9.140625" style="499"/>
    <col min="6398" max="6398" width="9.42578125" style="499" customWidth="1"/>
    <col min="6399" max="6399" width="31.42578125" style="499" customWidth="1"/>
    <col min="6400" max="6405" width="0" style="499" hidden="1" customWidth="1"/>
    <col min="6406" max="6406" width="8.7109375" style="499" customWidth="1"/>
    <col min="6407" max="6407" width="8.140625" style="499" customWidth="1"/>
    <col min="6408" max="6408" width="14.42578125" style="499" customWidth="1"/>
    <col min="6409" max="6409" width="13.28515625" style="499" customWidth="1"/>
    <col min="6410" max="6410" width="9.7109375" style="499" customWidth="1"/>
    <col min="6411" max="6411" width="13.5703125" style="499" customWidth="1"/>
    <col min="6412" max="6412" width="10.5703125" style="499" customWidth="1"/>
    <col min="6413" max="6413" width="11.28515625" style="499" customWidth="1"/>
    <col min="6414" max="6414" width="8.7109375" style="499" customWidth="1"/>
    <col min="6415" max="6415" width="9" style="499" customWidth="1"/>
    <col min="6416" max="6416" width="6.7109375" style="499" customWidth="1"/>
    <col min="6417" max="6417" width="11.42578125" style="499" customWidth="1"/>
    <col min="6418" max="6418" width="12.28515625" style="499" customWidth="1"/>
    <col min="6419" max="6419" width="11.28515625" style="499" customWidth="1"/>
    <col min="6420" max="6420" width="12.42578125" style="499" customWidth="1"/>
    <col min="6421" max="6421" width="13" style="499" customWidth="1"/>
    <col min="6422" max="6422" width="9.5703125" style="499" customWidth="1"/>
    <col min="6423" max="6423" width="11.42578125" style="499" customWidth="1"/>
    <col min="6424" max="6653" width="9.140625" style="499"/>
    <col min="6654" max="6654" width="9.42578125" style="499" customWidth="1"/>
    <col min="6655" max="6655" width="31.42578125" style="499" customWidth="1"/>
    <col min="6656" max="6661" width="0" style="499" hidden="1" customWidth="1"/>
    <col min="6662" max="6662" width="8.7109375" style="499" customWidth="1"/>
    <col min="6663" max="6663" width="8.140625" style="499" customWidth="1"/>
    <col min="6664" max="6664" width="14.42578125" style="499" customWidth="1"/>
    <col min="6665" max="6665" width="13.28515625" style="499" customWidth="1"/>
    <col min="6666" max="6666" width="9.7109375" style="499" customWidth="1"/>
    <col min="6667" max="6667" width="13.5703125" style="499" customWidth="1"/>
    <col min="6668" max="6668" width="10.5703125" style="499" customWidth="1"/>
    <col min="6669" max="6669" width="11.28515625" style="499" customWidth="1"/>
    <col min="6670" max="6670" width="8.7109375" style="499" customWidth="1"/>
    <col min="6671" max="6671" width="9" style="499" customWidth="1"/>
    <col min="6672" max="6672" width="6.7109375" style="499" customWidth="1"/>
    <col min="6673" max="6673" width="11.42578125" style="499" customWidth="1"/>
    <col min="6674" max="6674" width="12.28515625" style="499" customWidth="1"/>
    <col min="6675" max="6675" width="11.28515625" style="499" customWidth="1"/>
    <col min="6676" max="6676" width="12.42578125" style="499" customWidth="1"/>
    <col min="6677" max="6677" width="13" style="499" customWidth="1"/>
    <col min="6678" max="6678" width="9.5703125" style="499" customWidth="1"/>
    <col min="6679" max="6679" width="11.42578125" style="499" customWidth="1"/>
    <col min="6680" max="6909" width="9.140625" style="499"/>
    <col min="6910" max="6910" width="9.42578125" style="499" customWidth="1"/>
    <col min="6911" max="6911" width="31.42578125" style="499" customWidth="1"/>
    <col min="6912" max="6917" width="0" style="499" hidden="1" customWidth="1"/>
    <col min="6918" max="6918" width="8.7109375" style="499" customWidth="1"/>
    <col min="6919" max="6919" width="8.140625" style="499" customWidth="1"/>
    <col min="6920" max="6920" width="14.42578125" style="499" customWidth="1"/>
    <col min="6921" max="6921" width="13.28515625" style="499" customWidth="1"/>
    <col min="6922" max="6922" width="9.7109375" style="499" customWidth="1"/>
    <col min="6923" max="6923" width="13.5703125" style="499" customWidth="1"/>
    <col min="6924" max="6924" width="10.5703125" style="499" customWidth="1"/>
    <col min="6925" max="6925" width="11.28515625" style="499" customWidth="1"/>
    <col min="6926" max="6926" width="8.7109375" style="499" customWidth="1"/>
    <col min="6927" max="6927" width="9" style="499" customWidth="1"/>
    <col min="6928" max="6928" width="6.7109375" style="499" customWidth="1"/>
    <col min="6929" max="6929" width="11.42578125" style="499" customWidth="1"/>
    <col min="6930" max="6930" width="12.28515625" style="499" customWidth="1"/>
    <col min="6931" max="6931" width="11.28515625" style="499" customWidth="1"/>
    <col min="6932" max="6932" width="12.42578125" style="499" customWidth="1"/>
    <col min="6933" max="6933" width="13" style="499" customWidth="1"/>
    <col min="6934" max="6934" width="9.5703125" style="499" customWidth="1"/>
    <col min="6935" max="6935" width="11.42578125" style="499" customWidth="1"/>
    <col min="6936" max="7165" width="9.140625" style="499"/>
    <col min="7166" max="7166" width="9.42578125" style="499" customWidth="1"/>
    <col min="7167" max="7167" width="31.42578125" style="499" customWidth="1"/>
    <col min="7168" max="7173" width="0" style="499" hidden="1" customWidth="1"/>
    <col min="7174" max="7174" width="8.7109375" style="499" customWidth="1"/>
    <col min="7175" max="7175" width="8.140625" style="499" customWidth="1"/>
    <col min="7176" max="7176" width="14.42578125" style="499" customWidth="1"/>
    <col min="7177" max="7177" width="13.28515625" style="499" customWidth="1"/>
    <col min="7178" max="7178" width="9.7109375" style="499" customWidth="1"/>
    <col min="7179" max="7179" width="13.5703125" style="499" customWidth="1"/>
    <col min="7180" max="7180" width="10.5703125" style="499" customWidth="1"/>
    <col min="7181" max="7181" width="11.28515625" style="499" customWidth="1"/>
    <col min="7182" max="7182" width="8.7109375" style="499" customWidth="1"/>
    <col min="7183" max="7183" width="9" style="499" customWidth="1"/>
    <col min="7184" max="7184" width="6.7109375" style="499" customWidth="1"/>
    <col min="7185" max="7185" width="11.42578125" style="499" customWidth="1"/>
    <col min="7186" max="7186" width="12.28515625" style="499" customWidth="1"/>
    <col min="7187" max="7187" width="11.28515625" style="499" customWidth="1"/>
    <col min="7188" max="7188" width="12.42578125" style="499" customWidth="1"/>
    <col min="7189" max="7189" width="13" style="499" customWidth="1"/>
    <col min="7190" max="7190" width="9.5703125" style="499" customWidth="1"/>
    <col min="7191" max="7191" width="11.42578125" style="499" customWidth="1"/>
    <col min="7192" max="7421" width="9.140625" style="499"/>
    <col min="7422" max="7422" width="9.42578125" style="499" customWidth="1"/>
    <col min="7423" max="7423" width="31.42578125" style="499" customWidth="1"/>
    <col min="7424" max="7429" width="0" style="499" hidden="1" customWidth="1"/>
    <col min="7430" max="7430" width="8.7109375" style="499" customWidth="1"/>
    <col min="7431" max="7431" width="8.140625" style="499" customWidth="1"/>
    <col min="7432" max="7432" width="14.42578125" style="499" customWidth="1"/>
    <col min="7433" max="7433" width="13.28515625" style="499" customWidth="1"/>
    <col min="7434" max="7434" width="9.7109375" style="499" customWidth="1"/>
    <col min="7435" max="7435" width="13.5703125" style="499" customWidth="1"/>
    <col min="7436" max="7436" width="10.5703125" style="499" customWidth="1"/>
    <col min="7437" max="7437" width="11.28515625" style="499" customWidth="1"/>
    <col min="7438" max="7438" width="8.7109375" style="499" customWidth="1"/>
    <col min="7439" max="7439" width="9" style="499" customWidth="1"/>
    <col min="7440" max="7440" width="6.7109375" style="499" customWidth="1"/>
    <col min="7441" max="7441" width="11.42578125" style="499" customWidth="1"/>
    <col min="7442" max="7442" width="12.28515625" style="499" customWidth="1"/>
    <col min="7443" max="7443" width="11.28515625" style="499" customWidth="1"/>
    <col min="7444" max="7444" width="12.42578125" style="499" customWidth="1"/>
    <col min="7445" max="7445" width="13" style="499" customWidth="1"/>
    <col min="7446" max="7446" width="9.5703125" style="499" customWidth="1"/>
    <col min="7447" max="7447" width="11.42578125" style="499" customWidth="1"/>
    <col min="7448" max="7677" width="9.140625" style="499"/>
    <col min="7678" max="7678" width="9.42578125" style="499" customWidth="1"/>
    <col min="7679" max="7679" width="31.42578125" style="499" customWidth="1"/>
    <col min="7680" max="7685" width="0" style="499" hidden="1" customWidth="1"/>
    <col min="7686" max="7686" width="8.7109375" style="499" customWidth="1"/>
    <col min="7687" max="7687" width="8.140625" style="499" customWidth="1"/>
    <col min="7688" max="7688" width="14.42578125" style="499" customWidth="1"/>
    <col min="7689" max="7689" width="13.28515625" style="499" customWidth="1"/>
    <col min="7690" max="7690" width="9.7109375" style="499" customWidth="1"/>
    <col min="7691" max="7691" width="13.5703125" style="499" customWidth="1"/>
    <col min="7692" max="7692" width="10.5703125" style="499" customWidth="1"/>
    <col min="7693" max="7693" width="11.28515625" style="499" customWidth="1"/>
    <col min="7694" max="7694" width="8.7109375" style="499" customWidth="1"/>
    <col min="7695" max="7695" width="9" style="499" customWidth="1"/>
    <col min="7696" max="7696" width="6.7109375" style="499" customWidth="1"/>
    <col min="7697" max="7697" width="11.42578125" style="499" customWidth="1"/>
    <col min="7698" max="7698" width="12.28515625" style="499" customWidth="1"/>
    <col min="7699" max="7699" width="11.28515625" style="499" customWidth="1"/>
    <col min="7700" max="7700" width="12.42578125" style="499" customWidth="1"/>
    <col min="7701" max="7701" width="13" style="499" customWidth="1"/>
    <col min="7702" max="7702" width="9.5703125" style="499" customWidth="1"/>
    <col min="7703" max="7703" width="11.42578125" style="499" customWidth="1"/>
    <col min="7704" max="7933" width="9.140625" style="499"/>
    <col min="7934" max="7934" width="9.42578125" style="499" customWidth="1"/>
    <col min="7935" max="7935" width="31.42578125" style="499" customWidth="1"/>
    <col min="7936" max="7941" width="0" style="499" hidden="1" customWidth="1"/>
    <col min="7942" max="7942" width="8.7109375" style="499" customWidth="1"/>
    <col min="7943" max="7943" width="8.140625" style="499" customWidth="1"/>
    <col min="7944" max="7944" width="14.42578125" style="499" customWidth="1"/>
    <col min="7945" max="7945" width="13.28515625" style="499" customWidth="1"/>
    <col min="7946" max="7946" width="9.7109375" style="499" customWidth="1"/>
    <col min="7947" max="7947" width="13.5703125" style="499" customWidth="1"/>
    <col min="7948" max="7948" width="10.5703125" style="499" customWidth="1"/>
    <col min="7949" max="7949" width="11.28515625" style="499" customWidth="1"/>
    <col min="7950" max="7950" width="8.7109375" style="499" customWidth="1"/>
    <col min="7951" max="7951" width="9" style="499" customWidth="1"/>
    <col min="7952" max="7952" width="6.7109375" style="499" customWidth="1"/>
    <col min="7953" max="7953" width="11.42578125" style="499" customWidth="1"/>
    <col min="7954" max="7954" width="12.28515625" style="499" customWidth="1"/>
    <col min="7955" max="7955" width="11.28515625" style="499" customWidth="1"/>
    <col min="7956" max="7956" width="12.42578125" style="499" customWidth="1"/>
    <col min="7957" max="7957" width="13" style="499" customWidth="1"/>
    <col min="7958" max="7958" width="9.5703125" style="499" customWidth="1"/>
    <col min="7959" max="7959" width="11.42578125" style="499" customWidth="1"/>
    <col min="7960" max="8189" width="9.140625" style="499"/>
    <col min="8190" max="8190" width="9.42578125" style="499" customWidth="1"/>
    <col min="8191" max="8191" width="31.42578125" style="499" customWidth="1"/>
    <col min="8192" max="8197" width="0" style="499" hidden="1" customWidth="1"/>
    <col min="8198" max="8198" width="8.7109375" style="499" customWidth="1"/>
    <col min="8199" max="8199" width="8.140625" style="499" customWidth="1"/>
    <col min="8200" max="8200" width="14.42578125" style="499" customWidth="1"/>
    <col min="8201" max="8201" width="13.28515625" style="499" customWidth="1"/>
    <col min="8202" max="8202" width="9.7109375" style="499" customWidth="1"/>
    <col min="8203" max="8203" width="13.5703125" style="499" customWidth="1"/>
    <col min="8204" max="8204" width="10.5703125" style="499" customWidth="1"/>
    <col min="8205" max="8205" width="11.28515625" style="499" customWidth="1"/>
    <col min="8206" max="8206" width="8.7109375" style="499" customWidth="1"/>
    <col min="8207" max="8207" width="9" style="499" customWidth="1"/>
    <col min="8208" max="8208" width="6.7109375" style="499" customWidth="1"/>
    <col min="8209" max="8209" width="11.42578125" style="499" customWidth="1"/>
    <col min="8210" max="8210" width="12.28515625" style="499" customWidth="1"/>
    <col min="8211" max="8211" width="11.28515625" style="499" customWidth="1"/>
    <col min="8212" max="8212" width="12.42578125" style="499" customWidth="1"/>
    <col min="8213" max="8213" width="13" style="499" customWidth="1"/>
    <col min="8214" max="8214" width="9.5703125" style="499" customWidth="1"/>
    <col min="8215" max="8215" width="11.42578125" style="499" customWidth="1"/>
    <col min="8216" max="8445" width="9.140625" style="499"/>
    <col min="8446" max="8446" width="9.42578125" style="499" customWidth="1"/>
    <col min="8447" max="8447" width="31.42578125" style="499" customWidth="1"/>
    <col min="8448" max="8453" width="0" style="499" hidden="1" customWidth="1"/>
    <col min="8454" max="8454" width="8.7109375" style="499" customWidth="1"/>
    <col min="8455" max="8455" width="8.140625" style="499" customWidth="1"/>
    <col min="8456" max="8456" width="14.42578125" style="499" customWidth="1"/>
    <col min="8457" max="8457" width="13.28515625" style="499" customWidth="1"/>
    <col min="8458" max="8458" width="9.7109375" style="499" customWidth="1"/>
    <col min="8459" max="8459" width="13.5703125" style="499" customWidth="1"/>
    <col min="8460" max="8460" width="10.5703125" style="499" customWidth="1"/>
    <col min="8461" max="8461" width="11.28515625" style="499" customWidth="1"/>
    <col min="8462" max="8462" width="8.7109375" style="499" customWidth="1"/>
    <col min="8463" max="8463" width="9" style="499" customWidth="1"/>
    <col min="8464" max="8464" width="6.7109375" style="499" customWidth="1"/>
    <col min="8465" max="8465" width="11.42578125" style="499" customWidth="1"/>
    <col min="8466" max="8466" width="12.28515625" style="499" customWidth="1"/>
    <col min="8467" max="8467" width="11.28515625" style="499" customWidth="1"/>
    <col min="8468" max="8468" width="12.42578125" style="499" customWidth="1"/>
    <col min="8469" max="8469" width="13" style="499" customWidth="1"/>
    <col min="8470" max="8470" width="9.5703125" style="499" customWidth="1"/>
    <col min="8471" max="8471" width="11.42578125" style="499" customWidth="1"/>
    <col min="8472" max="8701" width="9.140625" style="499"/>
    <col min="8702" max="8702" width="9.42578125" style="499" customWidth="1"/>
    <col min="8703" max="8703" width="31.42578125" style="499" customWidth="1"/>
    <col min="8704" max="8709" width="0" style="499" hidden="1" customWidth="1"/>
    <col min="8710" max="8710" width="8.7109375" style="499" customWidth="1"/>
    <col min="8711" max="8711" width="8.140625" style="499" customWidth="1"/>
    <col min="8712" max="8712" width="14.42578125" style="499" customWidth="1"/>
    <col min="8713" max="8713" width="13.28515625" style="499" customWidth="1"/>
    <col min="8714" max="8714" width="9.7109375" style="499" customWidth="1"/>
    <col min="8715" max="8715" width="13.5703125" style="499" customWidth="1"/>
    <col min="8716" max="8716" width="10.5703125" style="499" customWidth="1"/>
    <col min="8717" max="8717" width="11.28515625" style="499" customWidth="1"/>
    <col min="8718" max="8718" width="8.7109375" style="499" customWidth="1"/>
    <col min="8719" max="8719" width="9" style="499" customWidth="1"/>
    <col min="8720" max="8720" width="6.7109375" style="499" customWidth="1"/>
    <col min="8721" max="8721" width="11.42578125" style="499" customWidth="1"/>
    <col min="8722" max="8722" width="12.28515625" style="499" customWidth="1"/>
    <col min="8723" max="8723" width="11.28515625" style="499" customWidth="1"/>
    <col min="8724" max="8724" width="12.42578125" style="499" customWidth="1"/>
    <col min="8725" max="8725" width="13" style="499" customWidth="1"/>
    <col min="8726" max="8726" width="9.5703125" style="499" customWidth="1"/>
    <col min="8727" max="8727" width="11.42578125" style="499" customWidth="1"/>
    <col min="8728" max="8957" width="9.140625" style="499"/>
    <col min="8958" max="8958" width="9.42578125" style="499" customWidth="1"/>
    <col min="8959" max="8959" width="31.42578125" style="499" customWidth="1"/>
    <col min="8960" max="8965" width="0" style="499" hidden="1" customWidth="1"/>
    <col min="8966" max="8966" width="8.7109375" style="499" customWidth="1"/>
    <col min="8967" max="8967" width="8.140625" style="499" customWidth="1"/>
    <col min="8968" max="8968" width="14.42578125" style="499" customWidth="1"/>
    <col min="8969" max="8969" width="13.28515625" style="499" customWidth="1"/>
    <col min="8970" max="8970" width="9.7109375" style="499" customWidth="1"/>
    <col min="8971" max="8971" width="13.5703125" style="499" customWidth="1"/>
    <col min="8972" max="8972" width="10.5703125" style="499" customWidth="1"/>
    <col min="8973" max="8973" width="11.28515625" style="499" customWidth="1"/>
    <col min="8974" max="8974" width="8.7109375" style="499" customWidth="1"/>
    <col min="8975" max="8975" width="9" style="499" customWidth="1"/>
    <col min="8976" max="8976" width="6.7109375" style="499" customWidth="1"/>
    <col min="8977" max="8977" width="11.42578125" style="499" customWidth="1"/>
    <col min="8978" max="8978" width="12.28515625" style="499" customWidth="1"/>
    <col min="8979" max="8979" width="11.28515625" style="499" customWidth="1"/>
    <col min="8980" max="8980" width="12.42578125" style="499" customWidth="1"/>
    <col min="8981" max="8981" width="13" style="499" customWidth="1"/>
    <col min="8982" max="8982" width="9.5703125" style="499" customWidth="1"/>
    <col min="8983" max="8983" width="11.42578125" style="499" customWidth="1"/>
    <col min="8984" max="9213" width="9.140625" style="499"/>
    <col min="9214" max="9214" width="9.42578125" style="499" customWidth="1"/>
    <col min="9215" max="9215" width="31.42578125" style="499" customWidth="1"/>
    <col min="9216" max="9221" width="0" style="499" hidden="1" customWidth="1"/>
    <col min="9222" max="9222" width="8.7109375" style="499" customWidth="1"/>
    <col min="9223" max="9223" width="8.140625" style="499" customWidth="1"/>
    <col min="9224" max="9224" width="14.42578125" style="499" customWidth="1"/>
    <col min="9225" max="9225" width="13.28515625" style="499" customWidth="1"/>
    <col min="9226" max="9226" width="9.7109375" style="499" customWidth="1"/>
    <col min="9227" max="9227" width="13.5703125" style="499" customWidth="1"/>
    <col min="9228" max="9228" width="10.5703125" style="499" customWidth="1"/>
    <col min="9229" max="9229" width="11.28515625" style="499" customWidth="1"/>
    <col min="9230" max="9230" width="8.7109375" style="499" customWidth="1"/>
    <col min="9231" max="9231" width="9" style="499" customWidth="1"/>
    <col min="9232" max="9232" width="6.7109375" style="499" customWidth="1"/>
    <col min="9233" max="9233" width="11.42578125" style="499" customWidth="1"/>
    <col min="9234" max="9234" width="12.28515625" style="499" customWidth="1"/>
    <col min="9235" max="9235" width="11.28515625" style="499" customWidth="1"/>
    <col min="9236" max="9236" width="12.42578125" style="499" customWidth="1"/>
    <col min="9237" max="9237" width="13" style="499" customWidth="1"/>
    <col min="9238" max="9238" width="9.5703125" style="499" customWidth="1"/>
    <col min="9239" max="9239" width="11.42578125" style="499" customWidth="1"/>
    <col min="9240" max="9469" width="9.140625" style="499"/>
    <col min="9470" max="9470" width="9.42578125" style="499" customWidth="1"/>
    <col min="9471" max="9471" width="31.42578125" style="499" customWidth="1"/>
    <col min="9472" max="9477" width="0" style="499" hidden="1" customWidth="1"/>
    <col min="9478" max="9478" width="8.7109375" style="499" customWidth="1"/>
    <col min="9479" max="9479" width="8.140625" style="499" customWidth="1"/>
    <col min="9480" max="9480" width="14.42578125" style="499" customWidth="1"/>
    <col min="9481" max="9481" width="13.28515625" style="499" customWidth="1"/>
    <col min="9482" max="9482" width="9.7109375" style="499" customWidth="1"/>
    <col min="9483" max="9483" width="13.5703125" style="499" customWidth="1"/>
    <col min="9484" max="9484" width="10.5703125" style="499" customWidth="1"/>
    <col min="9485" max="9485" width="11.28515625" style="499" customWidth="1"/>
    <col min="9486" max="9486" width="8.7109375" style="499" customWidth="1"/>
    <col min="9487" max="9487" width="9" style="499" customWidth="1"/>
    <col min="9488" max="9488" width="6.7109375" style="499" customWidth="1"/>
    <col min="9489" max="9489" width="11.42578125" style="499" customWidth="1"/>
    <col min="9490" max="9490" width="12.28515625" style="499" customWidth="1"/>
    <col min="9491" max="9491" width="11.28515625" style="499" customWidth="1"/>
    <col min="9492" max="9492" width="12.42578125" style="499" customWidth="1"/>
    <col min="9493" max="9493" width="13" style="499" customWidth="1"/>
    <col min="9494" max="9494" width="9.5703125" style="499" customWidth="1"/>
    <col min="9495" max="9495" width="11.42578125" style="499" customWidth="1"/>
    <col min="9496" max="9725" width="9.140625" style="499"/>
    <col min="9726" max="9726" width="9.42578125" style="499" customWidth="1"/>
    <col min="9727" max="9727" width="31.42578125" style="499" customWidth="1"/>
    <col min="9728" max="9733" width="0" style="499" hidden="1" customWidth="1"/>
    <col min="9734" max="9734" width="8.7109375" style="499" customWidth="1"/>
    <col min="9735" max="9735" width="8.140625" style="499" customWidth="1"/>
    <col min="9736" max="9736" width="14.42578125" style="499" customWidth="1"/>
    <col min="9737" max="9737" width="13.28515625" style="499" customWidth="1"/>
    <col min="9738" max="9738" width="9.7109375" style="499" customWidth="1"/>
    <col min="9739" max="9739" width="13.5703125" style="499" customWidth="1"/>
    <col min="9740" max="9740" width="10.5703125" style="499" customWidth="1"/>
    <col min="9741" max="9741" width="11.28515625" style="499" customWidth="1"/>
    <col min="9742" max="9742" width="8.7109375" style="499" customWidth="1"/>
    <col min="9743" max="9743" width="9" style="499" customWidth="1"/>
    <col min="9744" max="9744" width="6.7109375" style="499" customWidth="1"/>
    <col min="9745" max="9745" width="11.42578125" style="499" customWidth="1"/>
    <col min="9746" max="9746" width="12.28515625" style="499" customWidth="1"/>
    <col min="9747" max="9747" width="11.28515625" style="499" customWidth="1"/>
    <col min="9748" max="9748" width="12.42578125" style="499" customWidth="1"/>
    <col min="9749" max="9749" width="13" style="499" customWidth="1"/>
    <col min="9750" max="9750" width="9.5703125" style="499" customWidth="1"/>
    <col min="9751" max="9751" width="11.42578125" style="499" customWidth="1"/>
    <col min="9752" max="9981" width="9.140625" style="499"/>
    <col min="9982" max="9982" width="9.42578125" style="499" customWidth="1"/>
    <col min="9983" max="9983" width="31.42578125" style="499" customWidth="1"/>
    <col min="9984" max="9989" width="0" style="499" hidden="1" customWidth="1"/>
    <col min="9990" max="9990" width="8.7109375" style="499" customWidth="1"/>
    <col min="9991" max="9991" width="8.140625" style="499" customWidth="1"/>
    <col min="9992" max="9992" width="14.42578125" style="499" customWidth="1"/>
    <col min="9993" max="9993" width="13.28515625" style="499" customWidth="1"/>
    <col min="9994" max="9994" width="9.7109375" style="499" customWidth="1"/>
    <col min="9995" max="9995" width="13.5703125" style="499" customWidth="1"/>
    <col min="9996" max="9996" width="10.5703125" style="499" customWidth="1"/>
    <col min="9997" max="9997" width="11.28515625" style="499" customWidth="1"/>
    <col min="9998" max="9998" width="8.7109375" style="499" customWidth="1"/>
    <col min="9999" max="9999" width="9" style="499" customWidth="1"/>
    <col min="10000" max="10000" width="6.7109375" style="499" customWidth="1"/>
    <col min="10001" max="10001" width="11.42578125" style="499" customWidth="1"/>
    <col min="10002" max="10002" width="12.28515625" style="499" customWidth="1"/>
    <col min="10003" max="10003" width="11.28515625" style="499" customWidth="1"/>
    <col min="10004" max="10004" width="12.42578125" style="499" customWidth="1"/>
    <col min="10005" max="10005" width="13" style="499" customWidth="1"/>
    <col min="10006" max="10006" width="9.5703125" style="499" customWidth="1"/>
    <col min="10007" max="10007" width="11.42578125" style="499" customWidth="1"/>
    <col min="10008" max="10237" width="9.140625" style="499"/>
    <col min="10238" max="10238" width="9.42578125" style="499" customWidth="1"/>
    <col min="10239" max="10239" width="31.42578125" style="499" customWidth="1"/>
    <col min="10240" max="10245" width="0" style="499" hidden="1" customWidth="1"/>
    <col min="10246" max="10246" width="8.7109375" style="499" customWidth="1"/>
    <col min="10247" max="10247" width="8.140625" style="499" customWidth="1"/>
    <col min="10248" max="10248" width="14.42578125" style="499" customWidth="1"/>
    <col min="10249" max="10249" width="13.28515625" style="499" customWidth="1"/>
    <col min="10250" max="10250" width="9.7109375" style="499" customWidth="1"/>
    <col min="10251" max="10251" width="13.5703125" style="499" customWidth="1"/>
    <col min="10252" max="10252" width="10.5703125" style="499" customWidth="1"/>
    <col min="10253" max="10253" width="11.28515625" style="499" customWidth="1"/>
    <col min="10254" max="10254" width="8.7109375" style="499" customWidth="1"/>
    <col min="10255" max="10255" width="9" style="499" customWidth="1"/>
    <col min="10256" max="10256" width="6.7109375" style="499" customWidth="1"/>
    <col min="10257" max="10257" width="11.42578125" style="499" customWidth="1"/>
    <col min="10258" max="10258" width="12.28515625" style="499" customWidth="1"/>
    <col min="10259" max="10259" width="11.28515625" style="499" customWidth="1"/>
    <col min="10260" max="10260" width="12.42578125" style="499" customWidth="1"/>
    <col min="10261" max="10261" width="13" style="499" customWidth="1"/>
    <col min="10262" max="10262" width="9.5703125" style="499" customWidth="1"/>
    <col min="10263" max="10263" width="11.42578125" style="499" customWidth="1"/>
    <col min="10264" max="10493" width="9.140625" style="499"/>
    <col min="10494" max="10494" width="9.42578125" style="499" customWidth="1"/>
    <col min="10495" max="10495" width="31.42578125" style="499" customWidth="1"/>
    <col min="10496" max="10501" width="0" style="499" hidden="1" customWidth="1"/>
    <col min="10502" max="10502" width="8.7109375" style="499" customWidth="1"/>
    <col min="10503" max="10503" width="8.140625" style="499" customWidth="1"/>
    <col min="10504" max="10504" width="14.42578125" style="499" customWidth="1"/>
    <col min="10505" max="10505" width="13.28515625" style="499" customWidth="1"/>
    <col min="10506" max="10506" width="9.7109375" style="499" customWidth="1"/>
    <col min="10507" max="10507" width="13.5703125" style="499" customWidth="1"/>
    <col min="10508" max="10508" width="10.5703125" style="499" customWidth="1"/>
    <col min="10509" max="10509" width="11.28515625" style="499" customWidth="1"/>
    <col min="10510" max="10510" width="8.7109375" style="499" customWidth="1"/>
    <col min="10511" max="10511" width="9" style="499" customWidth="1"/>
    <col min="10512" max="10512" width="6.7109375" style="499" customWidth="1"/>
    <col min="10513" max="10513" width="11.42578125" style="499" customWidth="1"/>
    <col min="10514" max="10514" width="12.28515625" style="499" customWidth="1"/>
    <col min="10515" max="10515" width="11.28515625" style="499" customWidth="1"/>
    <col min="10516" max="10516" width="12.42578125" style="499" customWidth="1"/>
    <col min="10517" max="10517" width="13" style="499" customWidth="1"/>
    <col min="10518" max="10518" width="9.5703125" style="499" customWidth="1"/>
    <col min="10519" max="10519" width="11.42578125" style="499" customWidth="1"/>
    <col min="10520" max="10749" width="9.140625" style="499"/>
    <col min="10750" max="10750" width="9.42578125" style="499" customWidth="1"/>
    <col min="10751" max="10751" width="31.42578125" style="499" customWidth="1"/>
    <col min="10752" max="10757" width="0" style="499" hidden="1" customWidth="1"/>
    <col min="10758" max="10758" width="8.7109375" style="499" customWidth="1"/>
    <col min="10759" max="10759" width="8.140625" style="499" customWidth="1"/>
    <col min="10760" max="10760" width="14.42578125" style="499" customWidth="1"/>
    <col min="10761" max="10761" width="13.28515625" style="499" customWidth="1"/>
    <col min="10762" max="10762" width="9.7109375" style="499" customWidth="1"/>
    <col min="10763" max="10763" width="13.5703125" style="499" customWidth="1"/>
    <col min="10764" max="10764" width="10.5703125" style="499" customWidth="1"/>
    <col min="10765" max="10765" width="11.28515625" style="499" customWidth="1"/>
    <col min="10766" max="10766" width="8.7109375" style="499" customWidth="1"/>
    <col min="10767" max="10767" width="9" style="499" customWidth="1"/>
    <col min="10768" max="10768" width="6.7109375" style="499" customWidth="1"/>
    <col min="10769" max="10769" width="11.42578125" style="499" customWidth="1"/>
    <col min="10770" max="10770" width="12.28515625" style="499" customWidth="1"/>
    <col min="10771" max="10771" width="11.28515625" style="499" customWidth="1"/>
    <col min="10772" max="10772" width="12.42578125" style="499" customWidth="1"/>
    <col min="10773" max="10773" width="13" style="499" customWidth="1"/>
    <col min="10774" max="10774" width="9.5703125" style="499" customWidth="1"/>
    <col min="10775" max="10775" width="11.42578125" style="499" customWidth="1"/>
    <col min="10776" max="11005" width="9.140625" style="499"/>
    <col min="11006" max="11006" width="9.42578125" style="499" customWidth="1"/>
    <col min="11007" max="11007" width="31.42578125" style="499" customWidth="1"/>
    <col min="11008" max="11013" width="0" style="499" hidden="1" customWidth="1"/>
    <col min="11014" max="11014" width="8.7109375" style="499" customWidth="1"/>
    <col min="11015" max="11015" width="8.140625" style="499" customWidth="1"/>
    <col min="11016" max="11016" width="14.42578125" style="499" customWidth="1"/>
    <col min="11017" max="11017" width="13.28515625" style="499" customWidth="1"/>
    <col min="11018" max="11018" width="9.7109375" style="499" customWidth="1"/>
    <col min="11019" max="11019" width="13.5703125" style="499" customWidth="1"/>
    <col min="11020" max="11020" width="10.5703125" style="499" customWidth="1"/>
    <col min="11021" max="11021" width="11.28515625" style="499" customWidth="1"/>
    <col min="11022" max="11022" width="8.7109375" style="499" customWidth="1"/>
    <col min="11023" max="11023" width="9" style="499" customWidth="1"/>
    <col min="11024" max="11024" width="6.7109375" style="499" customWidth="1"/>
    <col min="11025" max="11025" width="11.42578125" style="499" customWidth="1"/>
    <col min="11026" max="11026" width="12.28515625" style="499" customWidth="1"/>
    <col min="11027" max="11027" width="11.28515625" style="499" customWidth="1"/>
    <col min="11028" max="11028" width="12.42578125" style="499" customWidth="1"/>
    <col min="11029" max="11029" width="13" style="499" customWidth="1"/>
    <col min="11030" max="11030" width="9.5703125" style="499" customWidth="1"/>
    <col min="11031" max="11031" width="11.42578125" style="499" customWidth="1"/>
    <col min="11032" max="11261" width="9.140625" style="499"/>
    <col min="11262" max="11262" width="9.42578125" style="499" customWidth="1"/>
    <col min="11263" max="11263" width="31.42578125" style="499" customWidth="1"/>
    <col min="11264" max="11269" width="0" style="499" hidden="1" customWidth="1"/>
    <col min="11270" max="11270" width="8.7109375" style="499" customWidth="1"/>
    <col min="11271" max="11271" width="8.140625" style="499" customWidth="1"/>
    <col min="11272" max="11272" width="14.42578125" style="499" customWidth="1"/>
    <col min="11273" max="11273" width="13.28515625" style="499" customWidth="1"/>
    <col min="11274" max="11274" width="9.7109375" style="499" customWidth="1"/>
    <col min="11275" max="11275" width="13.5703125" style="499" customWidth="1"/>
    <col min="11276" max="11276" width="10.5703125" style="499" customWidth="1"/>
    <col min="11277" max="11277" width="11.28515625" style="499" customWidth="1"/>
    <col min="11278" max="11278" width="8.7109375" style="499" customWidth="1"/>
    <col min="11279" max="11279" width="9" style="499" customWidth="1"/>
    <col min="11280" max="11280" width="6.7109375" style="499" customWidth="1"/>
    <col min="11281" max="11281" width="11.42578125" style="499" customWidth="1"/>
    <col min="11282" max="11282" width="12.28515625" style="499" customWidth="1"/>
    <col min="11283" max="11283" width="11.28515625" style="499" customWidth="1"/>
    <col min="11284" max="11284" width="12.42578125" style="499" customWidth="1"/>
    <col min="11285" max="11285" width="13" style="499" customWidth="1"/>
    <col min="11286" max="11286" width="9.5703125" style="499" customWidth="1"/>
    <col min="11287" max="11287" width="11.42578125" style="499" customWidth="1"/>
    <col min="11288" max="11517" width="9.140625" style="499"/>
    <col min="11518" max="11518" width="9.42578125" style="499" customWidth="1"/>
    <col min="11519" max="11519" width="31.42578125" style="499" customWidth="1"/>
    <col min="11520" max="11525" width="0" style="499" hidden="1" customWidth="1"/>
    <col min="11526" max="11526" width="8.7109375" style="499" customWidth="1"/>
    <col min="11527" max="11527" width="8.140625" style="499" customWidth="1"/>
    <col min="11528" max="11528" width="14.42578125" style="499" customWidth="1"/>
    <col min="11529" max="11529" width="13.28515625" style="499" customWidth="1"/>
    <col min="11530" max="11530" width="9.7109375" style="499" customWidth="1"/>
    <col min="11531" max="11531" width="13.5703125" style="499" customWidth="1"/>
    <col min="11532" max="11532" width="10.5703125" style="499" customWidth="1"/>
    <col min="11533" max="11533" width="11.28515625" style="499" customWidth="1"/>
    <col min="11534" max="11534" width="8.7109375" style="499" customWidth="1"/>
    <col min="11535" max="11535" width="9" style="499" customWidth="1"/>
    <col min="11536" max="11536" width="6.7109375" style="499" customWidth="1"/>
    <col min="11537" max="11537" width="11.42578125" style="499" customWidth="1"/>
    <col min="11538" max="11538" width="12.28515625" style="499" customWidth="1"/>
    <col min="11539" max="11539" width="11.28515625" style="499" customWidth="1"/>
    <col min="11540" max="11540" width="12.42578125" style="499" customWidth="1"/>
    <col min="11541" max="11541" width="13" style="499" customWidth="1"/>
    <col min="11542" max="11542" width="9.5703125" style="499" customWidth="1"/>
    <col min="11543" max="11543" width="11.42578125" style="499" customWidth="1"/>
    <col min="11544" max="11773" width="9.140625" style="499"/>
    <col min="11774" max="11774" width="9.42578125" style="499" customWidth="1"/>
    <col min="11775" max="11775" width="31.42578125" style="499" customWidth="1"/>
    <col min="11776" max="11781" width="0" style="499" hidden="1" customWidth="1"/>
    <col min="11782" max="11782" width="8.7109375" style="499" customWidth="1"/>
    <col min="11783" max="11783" width="8.140625" style="499" customWidth="1"/>
    <col min="11784" max="11784" width="14.42578125" style="499" customWidth="1"/>
    <col min="11785" max="11785" width="13.28515625" style="499" customWidth="1"/>
    <col min="11786" max="11786" width="9.7109375" style="499" customWidth="1"/>
    <col min="11787" max="11787" width="13.5703125" style="499" customWidth="1"/>
    <col min="11788" max="11788" width="10.5703125" style="499" customWidth="1"/>
    <col min="11789" max="11789" width="11.28515625" style="499" customWidth="1"/>
    <col min="11790" max="11790" width="8.7109375" style="499" customWidth="1"/>
    <col min="11791" max="11791" width="9" style="499" customWidth="1"/>
    <col min="11792" max="11792" width="6.7109375" style="499" customWidth="1"/>
    <col min="11793" max="11793" width="11.42578125" style="499" customWidth="1"/>
    <col min="11794" max="11794" width="12.28515625" style="499" customWidth="1"/>
    <col min="11795" max="11795" width="11.28515625" style="499" customWidth="1"/>
    <col min="11796" max="11796" width="12.42578125" style="499" customWidth="1"/>
    <col min="11797" max="11797" width="13" style="499" customWidth="1"/>
    <col min="11798" max="11798" width="9.5703125" style="499" customWidth="1"/>
    <col min="11799" max="11799" width="11.42578125" style="499" customWidth="1"/>
    <col min="11800" max="12029" width="9.140625" style="499"/>
    <col min="12030" max="12030" width="9.42578125" style="499" customWidth="1"/>
    <col min="12031" max="12031" width="31.42578125" style="499" customWidth="1"/>
    <col min="12032" max="12037" width="0" style="499" hidden="1" customWidth="1"/>
    <col min="12038" max="12038" width="8.7109375" style="499" customWidth="1"/>
    <col min="12039" max="12039" width="8.140625" style="499" customWidth="1"/>
    <col min="12040" max="12040" width="14.42578125" style="499" customWidth="1"/>
    <col min="12041" max="12041" width="13.28515625" style="499" customWidth="1"/>
    <col min="12042" max="12042" width="9.7109375" style="499" customWidth="1"/>
    <col min="12043" max="12043" width="13.5703125" style="499" customWidth="1"/>
    <col min="12044" max="12044" width="10.5703125" style="499" customWidth="1"/>
    <col min="12045" max="12045" width="11.28515625" style="499" customWidth="1"/>
    <col min="12046" max="12046" width="8.7109375" style="499" customWidth="1"/>
    <col min="12047" max="12047" width="9" style="499" customWidth="1"/>
    <col min="12048" max="12048" width="6.7109375" style="499" customWidth="1"/>
    <col min="12049" max="12049" width="11.42578125" style="499" customWidth="1"/>
    <col min="12050" max="12050" width="12.28515625" style="499" customWidth="1"/>
    <col min="12051" max="12051" width="11.28515625" style="499" customWidth="1"/>
    <col min="12052" max="12052" width="12.42578125" style="499" customWidth="1"/>
    <col min="12053" max="12053" width="13" style="499" customWidth="1"/>
    <col min="12054" max="12054" width="9.5703125" style="499" customWidth="1"/>
    <col min="12055" max="12055" width="11.42578125" style="499" customWidth="1"/>
    <col min="12056" max="12285" width="9.140625" style="499"/>
    <col min="12286" max="12286" width="9.42578125" style="499" customWidth="1"/>
    <col min="12287" max="12287" width="31.42578125" style="499" customWidth="1"/>
    <col min="12288" max="12293" width="0" style="499" hidden="1" customWidth="1"/>
    <col min="12294" max="12294" width="8.7109375" style="499" customWidth="1"/>
    <col min="12295" max="12295" width="8.140625" style="499" customWidth="1"/>
    <col min="12296" max="12296" width="14.42578125" style="499" customWidth="1"/>
    <col min="12297" max="12297" width="13.28515625" style="499" customWidth="1"/>
    <col min="12298" max="12298" width="9.7109375" style="499" customWidth="1"/>
    <col min="12299" max="12299" width="13.5703125" style="499" customWidth="1"/>
    <col min="12300" max="12300" width="10.5703125" style="499" customWidth="1"/>
    <col min="12301" max="12301" width="11.28515625" style="499" customWidth="1"/>
    <col min="12302" max="12302" width="8.7109375" style="499" customWidth="1"/>
    <col min="12303" max="12303" width="9" style="499" customWidth="1"/>
    <col min="12304" max="12304" width="6.7109375" style="499" customWidth="1"/>
    <col min="12305" max="12305" width="11.42578125" style="499" customWidth="1"/>
    <col min="12306" max="12306" width="12.28515625" style="499" customWidth="1"/>
    <col min="12307" max="12307" width="11.28515625" style="499" customWidth="1"/>
    <col min="12308" max="12308" width="12.42578125" style="499" customWidth="1"/>
    <col min="12309" max="12309" width="13" style="499" customWidth="1"/>
    <col min="12310" max="12310" width="9.5703125" style="499" customWidth="1"/>
    <col min="12311" max="12311" width="11.42578125" style="499" customWidth="1"/>
    <col min="12312" max="12541" width="9.140625" style="499"/>
    <col min="12542" max="12542" width="9.42578125" style="499" customWidth="1"/>
    <col min="12543" max="12543" width="31.42578125" style="499" customWidth="1"/>
    <col min="12544" max="12549" width="0" style="499" hidden="1" customWidth="1"/>
    <col min="12550" max="12550" width="8.7109375" style="499" customWidth="1"/>
    <col min="12551" max="12551" width="8.140625" style="499" customWidth="1"/>
    <col min="12552" max="12552" width="14.42578125" style="499" customWidth="1"/>
    <col min="12553" max="12553" width="13.28515625" style="499" customWidth="1"/>
    <col min="12554" max="12554" width="9.7109375" style="499" customWidth="1"/>
    <col min="12555" max="12555" width="13.5703125" style="499" customWidth="1"/>
    <col min="12556" max="12556" width="10.5703125" style="499" customWidth="1"/>
    <col min="12557" max="12557" width="11.28515625" style="499" customWidth="1"/>
    <col min="12558" max="12558" width="8.7109375" style="499" customWidth="1"/>
    <col min="12559" max="12559" width="9" style="499" customWidth="1"/>
    <col min="12560" max="12560" width="6.7109375" style="499" customWidth="1"/>
    <col min="12561" max="12561" width="11.42578125" style="499" customWidth="1"/>
    <col min="12562" max="12562" width="12.28515625" style="499" customWidth="1"/>
    <col min="12563" max="12563" width="11.28515625" style="499" customWidth="1"/>
    <col min="12564" max="12564" width="12.42578125" style="499" customWidth="1"/>
    <col min="12565" max="12565" width="13" style="499" customWidth="1"/>
    <col min="12566" max="12566" width="9.5703125" style="499" customWidth="1"/>
    <col min="12567" max="12567" width="11.42578125" style="499" customWidth="1"/>
    <col min="12568" max="12797" width="9.140625" style="499"/>
    <col min="12798" max="12798" width="9.42578125" style="499" customWidth="1"/>
    <col min="12799" max="12799" width="31.42578125" style="499" customWidth="1"/>
    <col min="12800" max="12805" width="0" style="499" hidden="1" customWidth="1"/>
    <col min="12806" max="12806" width="8.7109375" style="499" customWidth="1"/>
    <col min="12807" max="12807" width="8.140625" style="499" customWidth="1"/>
    <col min="12808" max="12808" width="14.42578125" style="499" customWidth="1"/>
    <col min="12809" max="12809" width="13.28515625" style="499" customWidth="1"/>
    <col min="12810" max="12810" width="9.7109375" style="499" customWidth="1"/>
    <col min="12811" max="12811" width="13.5703125" style="499" customWidth="1"/>
    <col min="12812" max="12812" width="10.5703125" style="499" customWidth="1"/>
    <col min="12813" max="12813" width="11.28515625" style="499" customWidth="1"/>
    <col min="12814" max="12814" width="8.7109375" style="499" customWidth="1"/>
    <col min="12815" max="12815" width="9" style="499" customWidth="1"/>
    <col min="12816" max="12816" width="6.7109375" style="499" customWidth="1"/>
    <col min="12817" max="12817" width="11.42578125" style="499" customWidth="1"/>
    <col min="12818" max="12818" width="12.28515625" style="499" customWidth="1"/>
    <col min="12819" max="12819" width="11.28515625" style="499" customWidth="1"/>
    <col min="12820" max="12820" width="12.42578125" style="499" customWidth="1"/>
    <col min="12821" max="12821" width="13" style="499" customWidth="1"/>
    <col min="12822" max="12822" width="9.5703125" style="499" customWidth="1"/>
    <col min="12823" max="12823" width="11.42578125" style="499" customWidth="1"/>
    <col min="12824" max="13053" width="9.140625" style="499"/>
    <col min="13054" max="13054" width="9.42578125" style="499" customWidth="1"/>
    <col min="13055" max="13055" width="31.42578125" style="499" customWidth="1"/>
    <col min="13056" max="13061" width="0" style="499" hidden="1" customWidth="1"/>
    <col min="13062" max="13062" width="8.7109375" style="499" customWidth="1"/>
    <col min="13063" max="13063" width="8.140625" style="499" customWidth="1"/>
    <col min="13064" max="13064" width="14.42578125" style="499" customWidth="1"/>
    <col min="13065" max="13065" width="13.28515625" style="499" customWidth="1"/>
    <col min="13066" max="13066" width="9.7109375" style="499" customWidth="1"/>
    <col min="13067" max="13067" width="13.5703125" style="499" customWidth="1"/>
    <col min="13068" max="13068" width="10.5703125" style="499" customWidth="1"/>
    <col min="13069" max="13069" width="11.28515625" style="499" customWidth="1"/>
    <col min="13070" max="13070" width="8.7109375" style="499" customWidth="1"/>
    <col min="13071" max="13071" width="9" style="499" customWidth="1"/>
    <col min="13072" max="13072" width="6.7109375" style="499" customWidth="1"/>
    <col min="13073" max="13073" width="11.42578125" style="499" customWidth="1"/>
    <col min="13074" max="13074" width="12.28515625" style="499" customWidth="1"/>
    <col min="13075" max="13075" width="11.28515625" style="499" customWidth="1"/>
    <col min="13076" max="13076" width="12.42578125" style="499" customWidth="1"/>
    <col min="13077" max="13077" width="13" style="499" customWidth="1"/>
    <col min="13078" max="13078" width="9.5703125" style="499" customWidth="1"/>
    <col min="13079" max="13079" width="11.42578125" style="499" customWidth="1"/>
    <col min="13080" max="13309" width="9.140625" style="499"/>
    <col min="13310" max="13310" width="9.42578125" style="499" customWidth="1"/>
    <col min="13311" max="13311" width="31.42578125" style="499" customWidth="1"/>
    <col min="13312" max="13317" width="0" style="499" hidden="1" customWidth="1"/>
    <col min="13318" max="13318" width="8.7109375" style="499" customWidth="1"/>
    <col min="13319" max="13319" width="8.140625" style="499" customWidth="1"/>
    <col min="13320" max="13320" width="14.42578125" style="499" customWidth="1"/>
    <col min="13321" max="13321" width="13.28515625" style="499" customWidth="1"/>
    <col min="13322" max="13322" width="9.7109375" style="499" customWidth="1"/>
    <col min="13323" max="13323" width="13.5703125" style="499" customWidth="1"/>
    <col min="13324" max="13324" width="10.5703125" style="499" customWidth="1"/>
    <col min="13325" max="13325" width="11.28515625" style="499" customWidth="1"/>
    <col min="13326" max="13326" width="8.7109375" style="499" customWidth="1"/>
    <col min="13327" max="13327" width="9" style="499" customWidth="1"/>
    <col min="13328" max="13328" width="6.7109375" style="499" customWidth="1"/>
    <col min="13329" max="13329" width="11.42578125" style="499" customWidth="1"/>
    <col min="13330" max="13330" width="12.28515625" style="499" customWidth="1"/>
    <col min="13331" max="13331" width="11.28515625" style="499" customWidth="1"/>
    <col min="13332" max="13332" width="12.42578125" style="499" customWidth="1"/>
    <col min="13333" max="13333" width="13" style="499" customWidth="1"/>
    <col min="13334" max="13334" width="9.5703125" style="499" customWidth="1"/>
    <col min="13335" max="13335" width="11.42578125" style="499" customWidth="1"/>
    <col min="13336" max="13565" width="9.140625" style="499"/>
    <col min="13566" max="13566" width="9.42578125" style="499" customWidth="1"/>
    <col min="13567" max="13567" width="31.42578125" style="499" customWidth="1"/>
    <col min="13568" max="13573" width="0" style="499" hidden="1" customWidth="1"/>
    <col min="13574" max="13574" width="8.7109375" style="499" customWidth="1"/>
    <col min="13575" max="13575" width="8.140625" style="499" customWidth="1"/>
    <col min="13576" max="13576" width="14.42578125" style="499" customWidth="1"/>
    <col min="13577" max="13577" width="13.28515625" style="499" customWidth="1"/>
    <col min="13578" max="13578" width="9.7109375" style="499" customWidth="1"/>
    <col min="13579" max="13579" width="13.5703125" style="499" customWidth="1"/>
    <col min="13580" max="13580" width="10.5703125" style="499" customWidth="1"/>
    <col min="13581" max="13581" width="11.28515625" style="499" customWidth="1"/>
    <col min="13582" max="13582" width="8.7109375" style="499" customWidth="1"/>
    <col min="13583" max="13583" width="9" style="499" customWidth="1"/>
    <col min="13584" max="13584" width="6.7109375" style="499" customWidth="1"/>
    <col min="13585" max="13585" width="11.42578125" style="499" customWidth="1"/>
    <col min="13586" max="13586" width="12.28515625" style="499" customWidth="1"/>
    <col min="13587" max="13587" width="11.28515625" style="499" customWidth="1"/>
    <col min="13588" max="13588" width="12.42578125" style="499" customWidth="1"/>
    <col min="13589" max="13589" width="13" style="499" customWidth="1"/>
    <col min="13590" max="13590" width="9.5703125" style="499" customWidth="1"/>
    <col min="13591" max="13591" width="11.42578125" style="499" customWidth="1"/>
    <col min="13592" max="13821" width="9.140625" style="499"/>
    <col min="13822" max="13822" width="9.42578125" style="499" customWidth="1"/>
    <col min="13823" max="13823" width="31.42578125" style="499" customWidth="1"/>
    <col min="13824" max="13829" width="0" style="499" hidden="1" customWidth="1"/>
    <col min="13830" max="13830" width="8.7109375" style="499" customWidth="1"/>
    <col min="13831" max="13831" width="8.140625" style="499" customWidth="1"/>
    <col min="13832" max="13832" width="14.42578125" style="499" customWidth="1"/>
    <col min="13833" max="13833" width="13.28515625" style="499" customWidth="1"/>
    <col min="13834" max="13834" width="9.7109375" style="499" customWidth="1"/>
    <col min="13835" max="13835" width="13.5703125" style="499" customWidth="1"/>
    <col min="13836" max="13836" width="10.5703125" style="499" customWidth="1"/>
    <col min="13837" max="13837" width="11.28515625" style="499" customWidth="1"/>
    <col min="13838" max="13838" width="8.7109375" style="499" customWidth="1"/>
    <col min="13839" max="13839" width="9" style="499" customWidth="1"/>
    <col min="13840" max="13840" width="6.7109375" style="499" customWidth="1"/>
    <col min="13841" max="13841" width="11.42578125" style="499" customWidth="1"/>
    <col min="13842" max="13842" width="12.28515625" style="499" customWidth="1"/>
    <col min="13843" max="13843" width="11.28515625" style="499" customWidth="1"/>
    <col min="13844" max="13844" width="12.42578125" style="499" customWidth="1"/>
    <col min="13845" max="13845" width="13" style="499" customWidth="1"/>
    <col min="13846" max="13846" width="9.5703125" style="499" customWidth="1"/>
    <col min="13847" max="13847" width="11.42578125" style="499" customWidth="1"/>
    <col min="13848" max="14077" width="9.140625" style="499"/>
    <col min="14078" max="14078" width="9.42578125" style="499" customWidth="1"/>
    <col min="14079" max="14079" width="31.42578125" style="499" customWidth="1"/>
    <col min="14080" max="14085" width="0" style="499" hidden="1" customWidth="1"/>
    <col min="14086" max="14086" width="8.7109375" style="499" customWidth="1"/>
    <col min="14087" max="14087" width="8.140625" style="499" customWidth="1"/>
    <col min="14088" max="14088" width="14.42578125" style="499" customWidth="1"/>
    <col min="14089" max="14089" width="13.28515625" style="499" customWidth="1"/>
    <col min="14090" max="14090" width="9.7109375" style="499" customWidth="1"/>
    <col min="14091" max="14091" width="13.5703125" style="499" customWidth="1"/>
    <col min="14092" max="14092" width="10.5703125" style="499" customWidth="1"/>
    <col min="14093" max="14093" width="11.28515625" style="499" customWidth="1"/>
    <col min="14094" max="14094" width="8.7109375" style="499" customWidth="1"/>
    <col min="14095" max="14095" width="9" style="499" customWidth="1"/>
    <col min="14096" max="14096" width="6.7109375" style="499" customWidth="1"/>
    <col min="14097" max="14097" width="11.42578125" style="499" customWidth="1"/>
    <col min="14098" max="14098" width="12.28515625" style="499" customWidth="1"/>
    <col min="14099" max="14099" width="11.28515625" style="499" customWidth="1"/>
    <col min="14100" max="14100" width="12.42578125" style="499" customWidth="1"/>
    <col min="14101" max="14101" width="13" style="499" customWidth="1"/>
    <col min="14102" max="14102" width="9.5703125" style="499" customWidth="1"/>
    <col min="14103" max="14103" width="11.42578125" style="499" customWidth="1"/>
    <col min="14104" max="14333" width="9.140625" style="499"/>
    <col min="14334" max="14334" width="9.42578125" style="499" customWidth="1"/>
    <col min="14335" max="14335" width="31.42578125" style="499" customWidth="1"/>
    <col min="14336" max="14341" width="0" style="499" hidden="1" customWidth="1"/>
    <col min="14342" max="14342" width="8.7109375" style="499" customWidth="1"/>
    <col min="14343" max="14343" width="8.140625" style="499" customWidth="1"/>
    <col min="14344" max="14344" width="14.42578125" style="499" customWidth="1"/>
    <col min="14345" max="14345" width="13.28515625" style="499" customWidth="1"/>
    <col min="14346" max="14346" width="9.7109375" style="499" customWidth="1"/>
    <col min="14347" max="14347" width="13.5703125" style="499" customWidth="1"/>
    <col min="14348" max="14348" width="10.5703125" style="499" customWidth="1"/>
    <col min="14349" max="14349" width="11.28515625" style="499" customWidth="1"/>
    <col min="14350" max="14350" width="8.7109375" style="499" customWidth="1"/>
    <col min="14351" max="14351" width="9" style="499" customWidth="1"/>
    <col min="14352" max="14352" width="6.7109375" style="499" customWidth="1"/>
    <col min="14353" max="14353" width="11.42578125" style="499" customWidth="1"/>
    <col min="14354" max="14354" width="12.28515625" style="499" customWidth="1"/>
    <col min="14355" max="14355" width="11.28515625" style="499" customWidth="1"/>
    <col min="14356" max="14356" width="12.42578125" style="499" customWidth="1"/>
    <col min="14357" max="14357" width="13" style="499" customWidth="1"/>
    <col min="14358" max="14358" width="9.5703125" style="499" customWidth="1"/>
    <col min="14359" max="14359" width="11.42578125" style="499" customWidth="1"/>
    <col min="14360" max="14589" width="9.140625" style="499"/>
    <col min="14590" max="14590" width="9.42578125" style="499" customWidth="1"/>
    <col min="14591" max="14591" width="31.42578125" style="499" customWidth="1"/>
    <col min="14592" max="14597" width="0" style="499" hidden="1" customWidth="1"/>
    <col min="14598" max="14598" width="8.7109375" style="499" customWidth="1"/>
    <col min="14599" max="14599" width="8.140625" style="499" customWidth="1"/>
    <col min="14600" max="14600" width="14.42578125" style="499" customWidth="1"/>
    <col min="14601" max="14601" width="13.28515625" style="499" customWidth="1"/>
    <col min="14602" max="14602" width="9.7109375" style="499" customWidth="1"/>
    <col min="14603" max="14603" width="13.5703125" style="499" customWidth="1"/>
    <col min="14604" max="14604" width="10.5703125" style="499" customWidth="1"/>
    <col min="14605" max="14605" width="11.28515625" style="499" customWidth="1"/>
    <col min="14606" max="14606" width="8.7109375" style="499" customWidth="1"/>
    <col min="14607" max="14607" width="9" style="499" customWidth="1"/>
    <col min="14608" max="14608" width="6.7109375" style="499" customWidth="1"/>
    <col min="14609" max="14609" width="11.42578125" style="499" customWidth="1"/>
    <col min="14610" max="14610" width="12.28515625" style="499" customWidth="1"/>
    <col min="14611" max="14611" width="11.28515625" style="499" customWidth="1"/>
    <col min="14612" max="14612" width="12.42578125" style="499" customWidth="1"/>
    <col min="14613" max="14613" width="13" style="499" customWidth="1"/>
    <col min="14614" max="14614" width="9.5703125" style="499" customWidth="1"/>
    <col min="14615" max="14615" width="11.42578125" style="499" customWidth="1"/>
    <col min="14616" max="14845" width="9.140625" style="499"/>
    <col min="14846" max="14846" width="9.42578125" style="499" customWidth="1"/>
    <col min="14847" max="14847" width="31.42578125" style="499" customWidth="1"/>
    <col min="14848" max="14853" width="0" style="499" hidden="1" customWidth="1"/>
    <col min="14854" max="14854" width="8.7109375" style="499" customWidth="1"/>
    <col min="14855" max="14855" width="8.140625" style="499" customWidth="1"/>
    <col min="14856" max="14856" width="14.42578125" style="499" customWidth="1"/>
    <col min="14857" max="14857" width="13.28515625" style="499" customWidth="1"/>
    <col min="14858" max="14858" width="9.7109375" style="499" customWidth="1"/>
    <col min="14859" max="14859" width="13.5703125" style="499" customWidth="1"/>
    <col min="14860" max="14860" width="10.5703125" style="499" customWidth="1"/>
    <col min="14861" max="14861" width="11.28515625" style="499" customWidth="1"/>
    <col min="14862" max="14862" width="8.7109375" style="499" customWidth="1"/>
    <col min="14863" max="14863" width="9" style="499" customWidth="1"/>
    <col min="14864" max="14864" width="6.7109375" style="499" customWidth="1"/>
    <col min="14865" max="14865" width="11.42578125" style="499" customWidth="1"/>
    <col min="14866" max="14866" width="12.28515625" style="499" customWidth="1"/>
    <col min="14867" max="14867" width="11.28515625" style="499" customWidth="1"/>
    <col min="14868" max="14868" width="12.42578125" style="499" customWidth="1"/>
    <col min="14869" max="14869" width="13" style="499" customWidth="1"/>
    <col min="14870" max="14870" width="9.5703125" style="499" customWidth="1"/>
    <col min="14871" max="14871" width="11.42578125" style="499" customWidth="1"/>
    <col min="14872" max="15101" width="9.140625" style="499"/>
    <col min="15102" max="15102" width="9.42578125" style="499" customWidth="1"/>
    <col min="15103" max="15103" width="31.42578125" style="499" customWidth="1"/>
    <col min="15104" max="15109" width="0" style="499" hidden="1" customWidth="1"/>
    <col min="15110" max="15110" width="8.7109375" style="499" customWidth="1"/>
    <col min="15111" max="15111" width="8.140625" style="499" customWidth="1"/>
    <col min="15112" max="15112" width="14.42578125" style="499" customWidth="1"/>
    <col min="15113" max="15113" width="13.28515625" style="499" customWidth="1"/>
    <col min="15114" max="15114" width="9.7109375" style="499" customWidth="1"/>
    <col min="15115" max="15115" width="13.5703125" style="499" customWidth="1"/>
    <col min="15116" max="15116" width="10.5703125" style="499" customWidth="1"/>
    <col min="15117" max="15117" width="11.28515625" style="499" customWidth="1"/>
    <col min="15118" max="15118" width="8.7109375" style="499" customWidth="1"/>
    <col min="15119" max="15119" width="9" style="499" customWidth="1"/>
    <col min="15120" max="15120" width="6.7109375" style="499" customWidth="1"/>
    <col min="15121" max="15121" width="11.42578125" style="499" customWidth="1"/>
    <col min="15122" max="15122" width="12.28515625" style="499" customWidth="1"/>
    <col min="15123" max="15123" width="11.28515625" style="499" customWidth="1"/>
    <col min="15124" max="15124" width="12.42578125" style="499" customWidth="1"/>
    <col min="15125" max="15125" width="13" style="499" customWidth="1"/>
    <col min="15126" max="15126" width="9.5703125" style="499" customWidth="1"/>
    <col min="15127" max="15127" width="11.42578125" style="499" customWidth="1"/>
    <col min="15128" max="15357" width="9.140625" style="499"/>
    <col min="15358" max="15358" width="9.42578125" style="499" customWidth="1"/>
    <col min="15359" max="15359" width="31.42578125" style="499" customWidth="1"/>
    <col min="15360" max="15365" width="0" style="499" hidden="1" customWidth="1"/>
    <col min="15366" max="15366" width="8.7109375" style="499" customWidth="1"/>
    <col min="15367" max="15367" width="8.140625" style="499" customWidth="1"/>
    <col min="15368" max="15368" width="14.42578125" style="499" customWidth="1"/>
    <col min="15369" max="15369" width="13.28515625" style="499" customWidth="1"/>
    <col min="15370" max="15370" width="9.7109375" style="499" customWidth="1"/>
    <col min="15371" max="15371" width="13.5703125" style="499" customWidth="1"/>
    <col min="15372" max="15372" width="10.5703125" style="499" customWidth="1"/>
    <col min="15373" max="15373" width="11.28515625" style="499" customWidth="1"/>
    <col min="15374" max="15374" width="8.7109375" style="499" customWidth="1"/>
    <col min="15375" max="15375" width="9" style="499" customWidth="1"/>
    <col min="15376" max="15376" width="6.7109375" style="499" customWidth="1"/>
    <col min="15377" max="15377" width="11.42578125" style="499" customWidth="1"/>
    <col min="15378" max="15378" width="12.28515625" style="499" customWidth="1"/>
    <col min="15379" max="15379" width="11.28515625" style="499" customWidth="1"/>
    <col min="15380" max="15380" width="12.42578125" style="499" customWidth="1"/>
    <col min="15381" max="15381" width="13" style="499" customWidth="1"/>
    <col min="15382" max="15382" width="9.5703125" style="499" customWidth="1"/>
    <col min="15383" max="15383" width="11.42578125" style="499" customWidth="1"/>
    <col min="15384" max="15613" width="9.140625" style="499"/>
    <col min="15614" max="15614" width="9.42578125" style="499" customWidth="1"/>
    <col min="15615" max="15615" width="31.42578125" style="499" customWidth="1"/>
    <col min="15616" max="15621" width="0" style="499" hidden="1" customWidth="1"/>
    <col min="15622" max="15622" width="8.7109375" style="499" customWidth="1"/>
    <col min="15623" max="15623" width="8.140625" style="499" customWidth="1"/>
    <col min="15624" max="15624" width="14.42578125" style="499" customWidth="1"/>
    <col min="15625" max="15625" width="13.28515625" style="499" customWidth="1"/>
    <col min="15626" max="15626" width="9.7109375" style="499" customWidth="1"/>
    <col min="15627" max="15627" width="13.5703125" style="499" customWidth="1"/>
    <col min="15628" max="15628" width="10.5703125" style="499" customWidth="1"/>
    <col min="15629" max="15629" width="11.28515625" style="499" customWidth="1"/>
    <col min="15630" max="15630" width="8.7109375" style="499" customWidth="1"/>
    <col min="15631" max="15631" width="9" style="499" customWidth="1"/>
    <col min="15632" max="15632" width="6.7109375" style="499" customWidth="1"/>
    <col min="15633" max="15633" width="11.42578125" style="499" customWidth="1"/>
    <col min="15634" max="15634" width="12.28515625" style="499" customWidth="1"/>
    <col min="15635" max="15635" width="11.28515625" style="499" customWidth="1"/>
    <col min="15636" max="15636" width="12.42578125" style="499" customWidth="1"/>
    <col min="15637" max="15637" width="13" style="499" customWidth="1"/>
    <col min="15638" max="15638" width="9.5703125" style="499" customWidth="1"/>
    <col min="15639" max="15639" width="11.42578125" style="499" customWidth="1"/>
    <col min="15640" max="15869" width="9.140625" style="499"/>
    <col min="15870" max="15870" width="9.42578125" style="499" customWidth="1"/>
    <col min="15871" max="15871" width="31.42578125" style="499" customWidth="1"/>
    <col min="15872" max="15877" width="0" style="499" hidden="1" customWidth="1"/>
    <col min="15878" max="15878" width="8.7109375" style="499" customWidth="1"/>
    <col min="15879" max="15879" width="8.140625" style="499" customWidth="1"/>
    <col min="15880" max="15880" width="14.42578125" style="499" customWidth="1"/>
    <col min="15881" max="15881" width="13.28515625" style="499" customWidth="1"/>
    <col min="15882" max="15882" width="9.7109375" style="499" customWidth="1"/>
    <col min="15883" max="15883" width="13.5703125" style="499" customWidth="1"/>
    <col min="15884" max="15884" width="10.5703125" style="499" customWidth="1"/>
    <col min="15885" max="15885" width="11.28515625" style="499" customWidth="1"/>
    <col min="15886" max="15886" width="8.7109375" style="499" customWidth="1"/>
    <col min="15887" max="15887" width="9" style="499" customWidth="1"/>
    <col min="15888" max="15888" width="6.7109375" style="499" customWidth="1"/>
    <col min="15889" max="15889" width="11.42578125" style="499" customWidth="1"/>
    <col min="15890" max="15890" width="12.28515625" style="499" customWidth="1"/>
    <col min="15891" max="15891" width="11.28515625" style="499" customWidth="1"/>
    <col min="15892" max="15892" width="12.42578125" style="499" customWidth="1"/>
    <col min="15893" max="15893" width="13" style="499" customWidth="1"/>
    <col min="15894" max="15894" width="9.5703125" style="499" customWidth="1"/>
    <col min="15895" max="15895" width="11.42578125" style="499" customWidth="1"/>
    <col min="15896" max="16125" width="9.140625" style="499"/>
    <col min="16126" max="16126" width="9.42578125" style="499" customWidth="1"/>
    <col min="16127" max="16127" width="31.42578125" style="499" customWidth="1"/>
    <col min="16128" max="16133" width="0" style="499" hidden="1" customWidth="1"/>
    <col min="16134" max="16134" width="8.7109375" style="499" customWidth="1"/>
    <col min="16135" max="16135" width="8.140625" style="499" customWidth="1"/>
    <col min="16136" max="16136" width="14.42578125" style="499" customWidth="1"/>
    <col min="16137" max="16137" width="13.28515625" style="499" customWidth="1"/>
    <col min="16138" max="16138" width="9.7109375" style="499" customWidth="1"/>
    <col min="16139" max="16139" width="13.5703125" style="499" customWidth="1"/>
    <col min="16140" max="16140" width="10.5703125" style="499" customWidth="1"/>
    <col min="16141" max="16141" width="11.28515625" style="499" customWidth="1"/>
    <col min="16142" max="16142" width="8.7109375" style="499" customWidth="1"/>
    <col min="16143" max="16143" width="9" style="499" customWidth="1"/>
    <col min="16144" max="16144" width="6.7109375" style="499" customWidth="1"/>
    <col min="16145" max="16145" width="11.42578125" style="499" customWidth="1"/>
    <col min="16146" max="16146" width="12.28515625" style="499" customWidth="1"/>
    <col min="16147" max="16147" width="11.28515625" style="499" customWidth="1"/>
    <col min="16148" max="16148" width="12.42578125" style="499" customWidth="1"/>
    <col min="16149" max="16149" width="13" style="499" customWidth="1"/>
    <col min="16150" max="16150" width="9.5703125" style="499" customWidth="1"/>
    <col min="16151" max="16151" width="11.42578125" style="499" customWidth="1"/>
    <col min="16152" max="16384" width="9.140625" style="499"/>
  </cols>
  <sheetData>
    <row r="1" spans="1:24" ht="58.15" customHeight="1" thickBot="1" x14ac:dyDescent="0.25">
      <c r="A1" s="855" t="s">
        <v>1731</v>
      </c>
      <c r="B1" s="855"/>
      <c r="C1" s="855"/>
      <c r="D1" s="855"/>
      <c r="E1" s="855"/>
      <c r="F1" s="855"/>
      <c r="G1" s="855"/>
      <c r="H1" s="855"/>
      <c r="I1" s="855"/>
      <c r="J1" s="855"/>
      <c r="K1" s="855"/>
      <c r="L1" s="855"/>
      <c r="M1" s="855"/>
      <c r="N1" s="855"/>
      <c r="O1" s="855"/>
      <c r="P1" s="855"/>
      <c r="Q1" s="855"/>
      <c r="R1" s="855"/>
      <c r="S1" s="855"/>
      <c r="T1" s="855"/>
      <c r="U1" s="855"/>
      <c r="V1" s="855"/>
      <c r="W1" s="856"/>
    </row>
    <row r="2" spans="1:24" ht="51" customHeight="1" x14ac:dyDescent="0.2">
      <c r="A2" s="857" t="s">
        <v>392</v>
      </c>
      <c r="B2" s="859" t="s">
        <v>1440</v>
      </c>
      <c r="C2" s="859" t="s">
        <v>1441</v>
      </c>
      <c r="D2" s="859" t="s">
        <v>508</v>
      </c>
      <c r="E2" s="859" t="s">
        <v>1442</v>
      </c>
      <c r="F2" s="859" t="s">
        <v>1718</v>
      </c>
      <c r="G2" s="861" t="s">
        <v>1443</v>
      </c>
      <c r="H2" s="863" t="s">
        <v>1444</v>
      </c>
      <c r="I2" s="864"/>
      <c r="J2" s="864"/>
      <c r="K2" s="864"/>
      <c r="L2" s="865"/>
      <c r="M2" s="866" t="s">
        <v>1722</v>
      </c>
      <c r="N2" s="867"/>
      <c r="O2" s="867"/>
      <c r="P2" s="867"/>
      <c r="Q2" s="867"/>
      <c r="R2" s="868"/>
      <c r="S2" s="852" t="s">
        <v>1445</v>
      </c>
      <c r="T2" s="853"/>
      <c r="U2" s="853"/>
      <c r="V2" s="853"/>
      <c r="W2" s="854"/>
      <c r="X2" s="500" t="s">
        <v>899</v>
      </c>
    </row>
    <row r="3" spans="1:24" ht="15" customHeight="1" x14ac:dyDescent="0.2">
      <c r="A3" s="858"/>
      <c r="B3" s="860"/>
      <c r="C3" s="860"/>
      <c r="D3" s="860"/>
      <c r="E3" s="860"/>
      <c r="F3" s="860"/>
      <c r="G3" s="862"/>
      <c r="H3" s="501" t="s">
        <v>1446</v>
      </c>
      <c r="I3" s="502" t="s">
        <v>1447</v>
      </c>
      <c r="J3" s="502" t="s">
        <v>1448</v>
      </c>
      <c r="K3" s="502" t="s">
        <v>1449</v>
      </c>
      <c r="L3" s="503" t="s">
        <v>1450</v>
      </c>
      <c r="M3" s="504" t="s">
        <v>1446</v>
      </c>
      <c r="N3" s="505" t="s">
        <v>1447</v>
      </c>
      <c r="O3" s="505" t="s">
        <v>1448</v>
      </c>
      <c r="P3" s="505" t="s">
        <v>1449</v>
      </c>
      <c r="Q3" s="505" t="s">
        <v>1450</v>
      </c>
      <c r="R3" s="506" t="s">
        <v>1451</v>
      </c>
      <c r="S3" s="507" t="s">
        <v>1446</v>
      </c>
      <c r="T3" s="508" t="s">
        <v>1447</v>
      </c>
      <c r="U3" s="508" t="s">
        <v>1448</v>
      </c>
      <c r="V3" s="508" t="s">
        <v>1449</v>
      </c>
      <c r="W3" s="509" t="s">
        <v>1450</v>
      </c>
      <c r="X3" s="510"/>
    </row>
    <row r="4" spans="1:24" ht="15" customHeight="1" x14ac:dyDescent="0.2">
      <c r="A4" s="858"/>
      <c r="B4" s="860"/>
      <c r="C4" s="860"/>
      <c r="D4" s="860"/>
      <c r="E4" s="860"/>
      <c r="F4" s="860"/>
      <c r="G4" s="862"/>
      <c r="H4" s="501" t="s">
        <v>1452</v>
      </c>
      <c r="I4" s="502" t="s">
        <v>1452</v>
      </c>
      <c r="J4" s="502" t="s">
        <v>1452</v>
      </c>
      <c r="K4" s="502" t="s">
        <v>1452</v>
      </c>
      <c r="L4" s="503" t="s">
        <v>1452</v>
      </c>
      <c r="M4" s="504" t="s">
        <v>1452</v>
      </c>
      <c r="N4" s="505" t="s">
        <v>1452</v>
      </c>
      <c r="O4" s="505" t="s">
        <v>1452</v>
      </c>
      <c r="P4" s="505" t="s">
        <v>1452</v>
      </c>
      <c r="Q4" s="505" t="s">
        <v>1452</v>
      </c>
      <c r="R4" s="506" t="s">
        <v>1453</v>
      </c>
      <c r="S4" s="507" t="s">
        <v>1452</v>
      </c>
      <c r="T4" s="508" t="s">
        <v>1452</v>
      </c>
      <c r="U4" s="508" t="s">
        <v>1452</v>
      </c>
      <c r="V4" s="508" t="s">
        <v>1452</v>
      </c>
      <c r="W4" s="509" t="s">
        <v>1452</v>
      </c>
      <c r="X4" s="510"/>
    </row>
    <row r="5" spans="1:24" x14ac:dyDescent="0.2">
      <c r="A5" s="511" t="s">
        <v>378</v>
      </c>
      <c r="B5" s="512" t="s">
        <v>1454</v>
      </c>
      <c r="C5" s="512" t="s">
        <v>5</v>
      </c>
      <c r="D5" s="512" t="s">
        <v>6</v>
      </c>
      <c r="E5" s="512" t="s">
        <v>4</v>
      </c>
      <c r="F5" s="513" t="s">
        <v>465</v>
      </c>
      <c r="G5" s="514"/>
      <c r="H5" s="515">
        <v>30</v>
      </c>
      <c r="I5" s="516">
        <v>0</v>
      </c>
      <c r="J5" s="516">
        <v>0</v>
      </c>
      <c r="K5" s="516">
        <v>0</v>
      </c>
      <c r="L5" s="517">
        <v>0</v>
      </c>
      <c r="M5" s="518"/>
      <c r="N5" s="519"/>
      <c r="O5" s="519"/>
      <c r="P5" s="519"/>
      <c r="Q5" s="519"/>
      <c r="R5" s="520" t="s">
        <v>420</v>
      </c>
      <c r="S5" s="521">
        <f>H5-M5</f>
        <v>30</v>
      </c>
      <c r="T5" s="521">
        <f t="shared" ref="T5:W5" si="0">I5-N5</f>
        <v>0</v>
      </c>
      <c r="U5" s="521">
        <f t="shared" si="0"/>
        <v>0</v>
      </c>
      <c r="V5" s="521">
        <f t="shared" si="0"/>
        <v>0</v>
      </c>
      <c r="W5" s="521">
        <f t="shared" si="0"/>
        <v>0</v>
      </c>
      <c r="X5" s="510"/>
    </row>
    <row r="6" spans="1:24" x14ac:dyDescent="0.2">
      <c r="A6" s="524" t="s">
        <v>378</v>
      </c>
      <c r="B6" s="525" t="s">
        <v>424</v>
      </c>
      <c r="C6" s="525" t="s">
        <v>5</v>
      </c>
      <c r="D6" s="525" t="s">
        <v>466</v>
      </c>
      <c r="E6" s="525" t="s">
        <v>375</v>
      </c>
      <c r="F6" s="526" t="s">
        <v>465</v>
      </c>
      <c r="G6" s="527"/>
      <c r="H6" s="528">
        <v>0</v>
      </c>
      <c r="I6" s="516">
        <v>0</v>
      </c>
      <c r="J6" s="516"/>
      <c r="K6" s="529">
        <v>42</v>
      </c>
      <c r="L6" s="517">
        <v>0</v>
      </c>
      <c r="M6" s="518"/>
      <c r="N6" s="519"/>
      <c r="O6" s="519"/>
      <c r="P6" s="519"/>
      <c r="Q6" s="519"/>
      <c r="R6" s="520" t="s">
        <v>1483</v>
      </c>
      <c r="S6" s="521">
        <f t="shared" ref="S6:S14" si="1">H6-M6</f>
        <v>0</v>
      </c>
      <c r="T6" s="521">
        <f t="shared" ref="T6:T14" si="2">I6-N6</f>
        <v>0</v>
      </c>
      <c r="U6" s="521">
        <f t="shared" ref="U6:U14" si="3">J6-O6</f>
        <v>0</v>
      </c>
      <c r="V6" s="521">
        <f t="shared" ref="V6:V14" si="4">K6-P6</f>
        <v>42</v>
      </c>
      <c r="W6" s="521">
        <f t="shared" ref="W6:W14" si="5">L6-Q6</f>
        <v>0</v>
      </c>
      <c r="X6" s="510"/>
    </row>
    <row r="7" spans="1:24" x14ac:dyDescent="0.2">
      <c r="A7" s="511" t="s">
        <v>378</v>
      </c>
      <c r="B7" s="512" t="s">
        <v>424</v>
      </c>
      <c r="C7" s="512" t="s">
        <v>5</v>
      </c>
      <c r="D7" s="512" t="s">
        <v>14</v>
      </c>
      <c r="E7" s="512" t="s">
        <v>13</v>
      </c>
      <c r="F7" s="513" t="s">
        <v>465</v>
      </c>
      <c r="G7" s="530" t="s">
        <v>1358</v>
      </c>
      <c r="H7" s="528">
        <v>16</v>
      </c>
      <c r="I7" s="516">
        <v>16</v>
      </c>
      <c r="J7" s="516">
        <v>4</v>
      </c>
      <c r="K7" s="516">
        <v>2</v>
      </c>
      <c r="L7" s="517">
        <v>0</v>
      </c>
      <c r="M7" s="518"/>
      <c r="N7" s="519"/>
      <c r="O7" s="519"/>
      <c r="P7" s="519"/>
      <c r="Q7" s="519"/>
      <c r="R7" s="520"/>
      <c r="S7" s="521">
        <f t="shared" si="1"/>
        <v>16</v>
      </c>
      <c r="T7" s="521">
        <f t="shared" si="2"/>
        <v>16</v>
      </c>
      <c r="U7" s="521">
        <f t="shared" si="3"/>
        <v>4</v>
      </c>
      <c r="V7" s="521">
        <f t="shared" si="4"/>
        <v>2</v>
      </c>
      <c r="W7" s="521">
        <f t="shared" si="5"/>
        <v>0</v>
      </c>
      <c r="X7" s="510" t="s">
        <v>1456</v>
      </c>
    </row>
    <row r="8" spans="1:24" x14ac:dyDescent="0.2">
      <c r="A8" s="524" t="s">
        <v>378</v>
      </c>
      <c r="B8" s="525" t="s">
        <v>462</v>
      </c>
      <c r="C8" s="525" t="s">
        <v>5</v>
      </c>
      <c r="D8" s="531" t="s">
        <v>1457</v>
      </c>
      <c r="E8" s="531" t="s">
        <v>17</v>
      </c>
      <c r="F8" s="526" t="s">
        <v>465</v>
      </c>
      <c r="G8" s="532"/>
      <c r="H8" s="515"/>
      <c r="I8" s="529"/>
      <c r="J8" s="516">
        <v>30</v>
      </c>
      <c r="K8" s="516">
        <v>10</v>
      </c>
      <c r="L8" s="517"/>
      <c r="M8" s="518">
        <v>0</v>
      </c>
      <c r="N8" s="519">
        <v>0</v>
      </c>
      <c r="O8" s="519">
        <v>0</v>
      </c>
      <c r="P8" s="519">
        <v>10</v>
      </c>
      <c r="Q8" s="519">
        <v>0</v>
      </c>
      <c r="R8" s="520" t="s">
        <v>462</v>
      </c>
      <c r="S8" s="521">
        <f t="shared" si="1"/>
        <v>0</v>
      </c>
      <c r="T8" s="521">
        <f t="shared" si="2"/>
        <v>0</v>
      </c>
      <c r="U8" s="521">
        <f t="shared" si="3"/>
        <v>30</v>
      </c>
      <c r="V8" s="521">
        <f t="shared" si="4"/>
        <v>0</v>
      </c>
      <c r="W8" s="521">
        <f t="shared" si="5"/>
        <v>0</v>
      </c>
      <c r="X8" s="510"/>
    </row>
    <row r="9" spans="1:24" x14ac:dyDescent="0.2">
      <c r="A9" s="511" t="s">
        <v>378</v>
      </c>
      <c r="B9" s="512" t="s">
        <v>462</v>
      </c>
      <c r="C9" s="512" t="s">
        <v>5</v>
      </c>
      <c r="D9" s="512" t="s">
        <v>8</v>
      </c>
      <c r="E9" s="512" t="s">
        <v>7</v>
      </c>
      <c r="F9" s="513" t="s">
        <v>465</v>
      </c>
      <c r="G9" s="530"/>
      <c r="H9" s="533">
        <v>0</v>
      </c>
      <c r="I9" s="534">
        <v>13</v>
      </c>
      <c r="J9" s="534">
        <v>10</v>
      </c>
      <c r="K9" s="534">
        <v>5</v>
      </c>
      <c r="L9" s="535">
        <v>0</v>
      </c>
      <c r="M9" s="518">
        <v>0</v>
      </c>
      <c r="N9" s="519">
        <v>0</v>
      </c>
      <c r="O9" s="519">
        <v>0</v>
      </c>
      <c r="P9" s="519">
        <v>0</v>
      </c>
      <c r="Q9" s="519">
        <v>0</v>
      </c>
      <c r="R9" s="520" t="s">
        <v>1458</v>
      </c>
      <c r="S9" s="521">
        <f t="shared" si="1"/>
        <v>0</v>
      </c>
      <c r="T9" s="521">
        <f t="shared" si="2"/>
        <v>13</v>
      </c>
      <c r="U9" s="521">
        <f t="shared" si="3"/>
        <v>10</v>
      </c>
      <c r="V9" s="521">
        <f t="shared" si="4"/>
        <v>5</v>
      </c>
      <c r="W9" s="521">
        <f t="shared" si="5"/>
        <v>0</v>
      </c>
      <c r="X9" s="510"/>
    </row>
    <row r="10" spans="1:24" x14ac:dyDescent="0.2">
      <c r="A10" s="524" t="s">
        <v>378</v>
      </c>
      <c r="B10" s="525" t="s">
        <v>1454</v>
      </c>
      <c r="C10" s="525" t="s">
        <v>5</v>
      </c>
      <c r="D10" s="525" t="s">
        <v>20</v>
      </c>
      <c r="E10" s="525" t="s">
        <v>19</v>
      </c>
      <c r="F10" s="526" t="s">
        <v>465</v>
      </c>
      <c r="G10" s="527"/>
      <c r="H10" s="528"/>
      <c r="I10" s="516">
        <v>0</v>
      </c>
      <c r="J10" s="516">
        <v>0</v>
      </c>
      <c r="K10" s="516">
        <v>0</v>
      </c>
      <c r="L10" s="536"/>
      <c r="M10" s="518"/>
      <c r="N10" s="519"/>
      <c r="O10" s="519"/>
      <c r="P10" s="519"/>
      <c r="Q10" s="519"/>
      <c r="R10" s="520"/>
      <c r="S10" s="521">
        <f t="shared" si="1"/>
        <v>0</v>
      </c>
      <c r="T10" s="521">
        <f t="shared" si="2"/>
        <v>0</v>
      </c>
      <c r="U10" s="521">
        <f t="shared" si="3"/>
        <v>0</v>
      </c>
      <c r="V10" s="521">
        <f t="shared" si="4"/>
        <v>0</v>
      </c>
      <c r="W10" s="521">
        <f t="shared" si="5"/>
        <v>0</v>
      </c>
      <c r="X10" s="510"/>
    </row>
    <row r="11" spans="1:24" x14ac:dyDescent="0.2">
      <c r="A11" s="511" t="s">
        <v>378</v>
      </c>
      <c r="B11" s="512" t="s">
        <v>424</v>
      </c>
      <c r="C11" s="512" t="s">
        <v>5</v>
      </c>
      <c r="D11" s="512" t="s">
        <v>364</v>
      </c>
      <c r="E11" s="512" t="s">
        <v>374</v>
      </c>
      <c r="F11" s="513" t="s">
        <v>465</v>
      </c>
      <c r="G11" s="530" t="s">
        <v>1459</v>
      </c>
      <c r="H11" s="516">
        <v>21</v>
      </c>
      <c r="I11" s="516">
        <v>21</v>
      </c>
      <c r="J11" s="516"/>
      <c r="K11" s="516">
        <v>10</v>
      </c>
      <c r="L11" s="517">
        <v>0</v>
      </c>
      <c r="M11" s="518"/>
      <c r="N11" s="519"/>
      <c r="O11" s="519"/>
      <c r="P11" s="519"/>
      <c r="Q11" s="519"/>
      <c r="R11" s="520" t="s">
        <v>424</v>
      </c>
      <c r="S11" s="521">
        <f>H11-M11</f>
        <v>21</v>
      </c>
      <c r="T11" s="521">
        <f t="shared" si="2"/>
        <v>21</v>
      </c>
      <c r="U11" s="521">
        <f>J11-O11</f>
        <v>0</v>
      </c>
      <c r="V11" s="521">
        <f t="shared" si="4"/>
        <v>10</v>
      </c>
      <c r="W11" s="521">
        <f t="shared" si="5"/>
        <v>0</v>
      </c>
      <c r="X11" s="510" t="s">
        <v>1456</v>
      </c>
    </row>
    <row r="12" spans="1:24" x14ac:dyDescent="0.2">
      <c r="A12" s="524" t="s">
        <v>378</v>
      </c>
      <c r="B12" s="525" t="s">
        <v>424</v>
      </c>
      <c r="C12" s="525" t="s">
        <v>5</v>
      </c>
      <c r="D12" s="525" t="s">
        <v>22</v>
      </c>
      <c r="E12" s="525" t="s">
        <v>21</v>
      </c>
      <c r="F12" s="526" t="s">
        <v>465</v>
      </c>
      <c r="G12" s="527" t="s">
        <v>1358</v>
      </c>
      <c r="H12" s="528">
        <v>280</v>
      </c>
      <c r="I12" s="516">
        <v>280</v>
      </c>
      <c r="J12" s="516">
        <v>0</v>
      </c>
      <c r="K12" s="516">
        <v>0</v>
      </c>
      <c r="L12" s="517">
        <v>0</v>
      </c>
      <c r="M12" s="518"/>
      <c r="N12" s="519"/>
      <c r="O12" s="519"/>
      <c r="P12" s="519"/>
      <c r="Q12" s="519"/>
      <c r="R12" s="520" t="s">
        <v>1460</v>
      </c>
      <c r="S12" s="521">
        <f t="shared" si="1"/>
        <v>280</v>
      </c>
      <c r="T12" s="521">
        <f t="shared" si="2"/>
        <v>280</v>
      </c>
      <c r="U12" s="521">
        <f t="shared" si="3"/>
        <v>0</v>
      </c>
      <c r="V12" s="521">
        <f t="shared" si="4"/>
        <v>0</v>
      </c>
      <c r="W12" s="521">
        <f t="shared" si="5"/>
        <v>0</v>
      </c>
      <c r="X12" s="510"/>
    </row>
    <row r="13" spans="1:24" x14ac:dyDescent="0.2">
      <c r="A13" s="511" t="s">
        <v>378</v>
      </c>
      <c r="B13" s="512" t="s">
        <v>462</v>
      </c>
      <c r="C13" s="512" t="s">
        <v>5</v>
      </c>
      <c r="D13" s="512" t="s">
        <v>1461</v>
      </c>
      <c r="E13" s="512" t="s">
        <v>23</v>
      </c>
      <c r="F13" s="513" t="s">
        <v>465</v>
      </c>
      <c r="G13" s="530"/>
      <c r="H13" s="533">
        <v>0</v>
      </c>
      <c r="I13" s="534">
        <v>0</v>
      </c>
      <c r="J13" s="534">
        <v>15</v>
      </c>
      <c r="K13" s="534">
        <v>5</v>
      </c>
      <c r="L13" s="535">
        <v>0</v>
      </c>
      <c r="M13" s="518">
        <v>0</v>
      </c>
      <c r="N13" s="519">
        <v>0</v>
      </c>
      <c r="O13" s="519">
        <v>0</v>
      </c>
      <c r="P13" s="519">
        <v>0</v>
      </c>
      <c r="Q13" s="519">
        <v>0</v>
      </c>
      <c r="R13" s="520" t="s">
        <v>1458</v>
      </c>
      <c r="S13" s="521">
        <f t="shared" si="1"/>
        <v>0</v>
      </c>
      <c r="T13" s="521">
        <f t="shared" si="2"/>
        <v>0</v>
      </c>
      <c r="U13" s="521">
        <f t="shared" si="3"/>
        <v>15</v>
      </c>
      <c r="V13" s="521">
        <f t="shared" si="4"/>
        <v>5</v>
      </c>
      <c r="W13" s="521">
        <f t="shared" si="5"/>
        <v>0</v>
      </c>
      <c r="X13" s="510"/>
    </row>
    <row r="14" spans="1:24" x14ac:dyDescent="0.2">
      <c r="A14" s="524" t="s">
        <v>378</v>
      </c>
      <c r="B14" s="525" t="s">
        <v>462</v>
      </c>
      <c r="C14" s="525" t="s">
        <v>5</v>
      </c>
      <c r="D14" s="525" t="s">
        <v>26</v>
      </c>
      <c r="E14" s="525" t="s">
        <v>25</v>
      </c>
      <c r="F14" s="526" t="s">
        <v>465</v>
      </c>
      <c r="G14" s="527"/>
      <c r="H14" s="533">
        <v>0</v>
      </c>
      <c r="I14" s="534">
        <v>0</v>
      </c>
      <c r="J14" s="534">
        <v>15</v>
      </c>
      <c r="K14" s="534">
        <v>5</v>
      </c>
      <c r="L14" s="535">
        <v>0</v>
      </c>
      <c r="M14" s="518">
        <v>0</v>
      </c>
      <c r="N14" s="519">
        <v>0</v>
      </c>
      <c r="O14" s="519">
        <v>0</v>
      </c>
      <c r="P14" s="519">
        <v>0</v>
      </c>
      <c r="Q14" s="519">
        <v>0</v>
      </c>
      <c r="R14" s="520" t="s">
        <v>1458</v>
      </c>
      <c r="S14" s="521">
        <f t="shared" si="1"/>
        <v>0</v>
      </c>
      <c r="T14" s="521">
        <f t="shared" si="2"/>
        <v>0</v>
      </c>
      <c r="U14" s="521">
        <f t="shared" si="3"/>
        <v>15</v>
      </c>
      <c r="V14" s="521">
        <f t="shared" si="4"/>
        <v>5</v>
      </c>
      <c r="W14" s="521">
        <f t="shared" si="5"/>
        <v>0</v>
      </c>
      <c r="X14" s="510"/>
    </row>
    <row r="15" spans="1:24" ht="14.45" customHeight="1" x14ac:dyDescent="0.2">
      <c r="A15" s="537" t="s">
        <v>3</v>
      </c>
      <c r="B15" s="538"/>
      <c r="C15" s="538"/>
      <c r="D15" s="539"/>
      <c r="E15" s="540"/>
      <c r="F15" s="541"/>
      <c r="G15" s="542"/>
      <c r="H15" s="543">
        <f>SUM(H5:H14)</f>
        <v>347</v>
      </c>
      <c r="I15" s="543">
        <f t="shared" ref="I15:L15" si="6">SUM(I5:I14)</f>
        <v>330</v>
      </c>
      <c r="J15" s="543">
        <f t="shared" si="6"/>
        <v>74</v>
      </c>
      <c r="K15" s="543">
        <f t="shared" si="6"/>
        <v>79</v>
      </c>
      <c r="L15" s="543">
        <f t="shared" si="6"/>
        <v>0</v>
      </c>
      <c r="M15" s="543">
        <f>SUM(M5:M14)</f>
        <v>0</v>
      </c>
      <c r="N15" s="540">
        <f t="shared" ref="N15:Q15" si="7">SUM(N5:N14)</f>
        <v>0</v>
      </c>
      <c r="O15" s="540">
        <f t="shared" si="7"/>
        <v>0</v>
      </c>
      <c r="P15" s="540">
        <f t="shared" si="7"/>
        <v>10</v>
      </c>
      <c r="Q15" s="540">
        <f t="shared" si="7"/>
        <v>0</v>
      </c>
      <c r="R15" s="545"/>
      <c r="S15" s="543">
        <f>SUMIF($S5:$S$14,"&gt;0")</f>
        <v>347</v>
      </c>
      <c r="T15" s="540">
        <f>SUMIF($T5:$T$14,"&gt;0")</f>
        <v>330</v>
      </c>
      <c r="U15" s="540">
        <f>SUMIF($U5:$U$14,"&gt;0")</f>
        <v>74</v>
      </c>
      <c r="V15" s="540">
        <f>SUMIF($V5:$V$14,"&gt;0")</f>
        <v>69</v>
      </c>
      <c r="W15" s="544">
        <f>SUMIF($W5:$W$14,"&gt;0")</f>
        <v>0</v>
      </c>
      <c r="X15" s="510"/>
    </row>
    <row r="16" spans="1:24" x14ac:dyDescent="0.2">
      <c r="A16" s="524" t="s">
        <v>378</v>
      </c>
      <c r="B16" s="525" t="s">
        <v>462</v>
      </c>
      <c r="C16" s="525" t="s">
        <v>27</v>
      </c>
      <c r="D16" s="525" t="s">
        <v>28</v>
      </c>
      <c r="E16" s="525" t="s">
        <v>30</v>
      </c>
      <c r="F16" s="526" t="s">
        <v>465</v>
      </c>
      <c r="G16" s="546"/>
      <c r="H16" s="533">
        <v>15</v>
      </c>
      <c r="I16" s="534">
        <v>15</v>
      </c>
      <c r="J16" s="534">
        <v>20</v>
      </c>
      <c r="K16" s="534">
        <v>5</v>
      </c>
      <c r="L16" s="535">
        <v>1</v>
      </c>
      <c r="M16" s="518"/>
      <c r="N16" s="519"/>
      <c r="O16" s="519"/>
      <c r="P16" s="519"/>
      <c r="Q16" s="519"/>
      <c r="R16" s="520" t="s">
        <v>1458</v>
      </c>
      <c r="S16" s="521">
        <f t="shared" ref="S16:S20" si="8">H16-M16</f>
        <v>15</v>
      </c>
      <c r="T16" s="521">
        <f t="shared" ref="T16:T20" si="9">I16-N16</f>
        <v>15</v>
      </c>
      <c r="U16" s="521">
        <f t="shared" ref="U16:U20" si="10">J16-O16</f>
        <v>20</v>
      </c>
      <c r="V16" s="521">
        <f t="shared" ref="V16:V20" si="11">K16-P16</f>
        <v>5</v>
      </c>
      <c r="W16" s="521">
        <f t="shared" ref="W16:W20" si="12">L16-Q16</f>
        <v>1</v>
      </c>
      <c r="X16" s="510"/>
    </row>
    <row r="17" spans="1:24" x14ac:dyDescent="0.2">
      <c r="A17" s="511" t="s">
        <v>378</v>
      </c>
      <c r="B17" s="512" t="s">
        <v>462</v>
      </c>
      <c r="C17" s="512" t="s">
        <v>27</v>
      </c>
      <c r="D17" s="512" t="s">
        <v>363</v>
      </c>
      <c r="E17" s="512" t="s">
        <v>376</v>
      </c>
      <c r="F17" s="513" t="s">
        <v>465</v>
      </c>
      <c r="G17" s="530"/>
      <c r="H17" s="533">
        <v>10</v>
      </c>
      <c r="I17" s="534">
        <v>10</v>
      </c>
      <c r="J17" s="534">
        <v>20</v>
      </c>
      <c r="K17" s="534">
        <v>10</v>
      </c>
      <c r="L17" s="535">
        <v>0</v>
      </c>
      <c r="M17" s="518"/>
      <c r="N17" s="519"/>
      <c r="O17" s="519"/>
      <c r="P17" s="519"/>
      <c r="Q17" s="519"/>
      <c r="R17" s="520" t="s">
        <v>1458</v>
      </c>
      <c r="S17" s="521">
        <f t="shared" si="8"/>
        <v>10</v>
      </c>
      <c r="T17" s="521">
        <f t="shared" si="9"/>
        <v>10</v>
      </c>
      <c r="U17" s="521">
        <f t="shared" si="10"/>
        <v>20</v>
      </c>
      <c r="V17" s="521">
        <f t="shared" si="11"/>
        <v>10</v>
      </c>
      <c r="W17" s="521">
        <f t="shared" si="12"/>
        <v>0</v>
      </c>
      <c r="X17" s="510"/>
    </row>
    <row r="18" spans="1:24" x14ac:dyDescent="0.2">
      <c r="A18" s="524" t="s">
        <v>378</v>
      </c>
      <c r="B18" s="525" t="s">
        <v>1462</v>
      </c>
      <c r="C18" s="525" t="s">
        <v>27</v>
      </c>
      <c r="D18" s="525" t="s">
        <v>792</v>
      </c>
      <c r="E18" s="525" t="s">
        <v>791</v>
      </c>
      <c r="F18" s="526" t="s">
        <v>465</v>
      </c>
      <c r="G18" s="546"/>
      <c r="H18" s="515">
        <v>153</v>
      </c>
      <c r="I18" s="516">
        <v>0</v>
      </c>
      <c r="J18" s="516">
        <v>0</v>
      </c>
      <c r="K18" s="516">
        <v>0</v>
      </c>
      <c r="L18" s="517">
        <v>0</v>
      </c>
      <c r="M18" s="518"/>
      <c r="N18" s="519"/>
      <c r="O18" s="519"/>
      <c r="P18" s="519"/>
      <c r="Q18" s="519"/>
      <c r="R18" s="520"/>
      <c r="S18" s="521">
        <f t="shared" si="8"/>
        <v>153</v>
      </c>
      <c r="T18" s="521">
        <f t="shared" si="9"/>
        <v>0</v>
      </c>
      <c r="U18" s="521">
        <f t="shared" si="10"/>
        <v>0</v>
      </c>
      <c r="V18" s="521">
        <f t="shared" si="11"/>
        <v>0</v>
      </c>
      <c r="W18" s="521">
        <f t="shared" si="12"/>
        <v>0</v>
      </c>
      <c r="X18" s="510"/>
    </row>
    <row r="19" spans="1:24" x14ac:dyDescent="0.2">
      <c r="A19" s="511" t="s">
        <v>378</v>
      </c>
      <c r="B19" s="512" t="s">
        <v>424</v>
      </c>
      <c r="C19" s="512" t="s">
        <v>27</v>
      </c>
      <c r="D19" s="512" t="s">
        <v>362</v>
      </c>
      <c r="E19" s="512" t="s">
        <v>29</v>
      </c>
      <c r="F19" s="513" t="s">
        <v>467</v>
      </c>
      <c r="G19" s="514" t="s">
        <v>1358</v>
      </c>
      <c r="H19" s="547">
        <v>153</v>
      </c>
      <c r="I19" s="548"/>
      <c r="J19" s="548"/>
      <c r="K19" s="548"/>
      <c r="L19" s="549"/>
      <c r="M19" s="518"/>
      <c r="N19" s="519"/>
      <c r="O19" s="519"/>
      <c r="P19" s="519"/>
      <c r="Q19" s="519"/>
      <c r="R19" s="520"/>
      <c r="S19" s="521">
        <f t="shared" si="8"/>
        <v>153</v>
      </c>
      <c r="T19" s="521">
        <f t="shared" si="9"/>
        <v>0</v>
      </c>
      <c r="U19" s="521">
        <f t="shared" si="10"/>
        <v>0</v>
      </c>
      <c r="V19" s="521">
        <f t="shared" si="11"/>
        <v>0</v>
      </c>
      <c r="W19" s="521">
        <f t="shared" si="12"/>
        <v>0</v>
      </c>
      <c r="X19" s="510"/>
    </row>
    <row r="20" spans="1:24" x14ac:dyDescent="0.2">
      <c r="A20" s="524" t="s">
        <v>378</v>
      </c>
      <c r="B20" s="525" t="s">
        <v>1462</v>
      </c>
      <c r="C20" s="525" t="s">
        <v>27</v>
      </c>
      <c r="D20" s="525" t="s">
        <v>879</v>
      </c>
      <c r="E20" s="525"/>
      <c r="F20" s="526"/>
      <c r="G20" s="550"/>
      <c r="H20" s="547">
        <v>26</v>
      </c>
      <c r="I20" s="548">
        <v>26</v>
      </c>
      <c r="J20" s="548">
        <v>5</v>
      </c>
      <c r="K20" s="548">
        <v>3</v>
      </c>
      <c r="L20" s="549">
        <v>2</v>
      </c>
      <c r="M20" s="518"/>
      <c r="N20" s="519"/>
      <c r="O20" s="519"/>
      <c r="P20" s="519"/>
      <c r="Q20" s="519"/>
      <c r="R20" s="520"/>
      <c r="S20" s="521">
        <f t="shared" si="8"/>
        <v>26</v>
      </c>
      <c r="T20" s="521">
        <f t="shared" si="9"/>
        <v>26</v>
      </c>
      <c r="U20" s="521">
        <f t="shared" si="10"/>
        <v>5</v>
      </c>
      <c r="V20" s="521">
        <f t="shared" si="11"/>
        <v>3</v>
      </c>
      <c r="W20" s="521">
        <f t="shared" si="12"/>
        <v>2</v>
      </c>
      <c r="X20" s="510"/>
    </row>
    <row r="21" spans="1:24" ht="14.45" customHeight="1" x14ac:dyDescent="0.2">
      <c r="A21" s="537" t="s">
        <v>3</v>
      </c>
      <c r="B21" s="538"/>
      <c r="C21" s="538"/>
      <c r="D21" s="539"/>
      <c r="E21" s="540"/>
      <c r="F21" s="541"/>
      <c r="G21" s="542"/>
      <c r="H21" s="543">
        <f>SUM(H16:H20)</f>
        <v>357</v>
      </c>
      <c r="I21" s="543">
        <f t="shared" ref="I21:L21" si="13">SUM(I16:I20)</f>
        <v>51</v>
      </c>
      <c r="J21" s="543">
        <f t="shared" si="13"/>
        <v>45</v>
      </c>
      <c r="K21" s="543">
        <f t="shared" si="13"/>
        <v>18</v>
      </c>
      <c r="L21" s="543">
        <f t="shared" si="13"/>
        <v>3</v>
      </c>
      <c r="M21" s="543">
        <f t="shared" ref="M21:Q21" si="14">SUM(M16:M20)</f>
        <v>0</v>
      </c>
      <c r="N21" s="543">
        <f t="shared" si="14"/>
        <v>0</v>
      </c>
      <c r="O21" s="543">
        <f t="shared" si="14"/>
        <v>0</v>
      </c>
      <c r="P21" s="543">
        <f t="shared" si="14"/>
        <v>0</v>
      </c>
      <c r="Q21" s="543">
        <f t="shared" si="14"/>
        <v>0</v>
      </c>
      <c r="R21" s="545"/>
      <c r="S21" s="543">
        <f>SUMIF($S16:$S$20,"&gt;0")</f>
        <v>357</v>
      </c>
      <c r="T21" s="540">
        <f>SUMIF($T16:$T$20,"&gt;0")</f>
        <v>51</v>
      </c>
      <c r="U21" s="540">
        <f>SUMIF($U16:$U$20,"&gt;0")</f>
        <v>45</v>
      </c>
      <c r="V21" s="540">
        <f>SUMIF($V16:$V$20,"&gt;0")</f>
        <v>18</v>
      </c>
      <c r="W21" s="544">
        <f>SUMIF($W16:$W$20,"&gt;0")</f>
        <v>3</v>
      </c>
      <c r="X21" s="510"/>
    </row>
    <row r="22" spans="1:24" x14ac:dyDescent="0.2">
      <c r="A22" s="524" t="s">
        <v>378</v>
      </c>
      <c r="B22" s="525" t="s">
        <v>424</v>
      </c>
      <c r="C22" s="525" t="s">
        <v>481</v>
      </c>
      <c r="D22" s="551" t="s">
        <v>1463</v>
      </c>
      <c r="E22" s="525" t="s">
        <v>61</v>
      </c>
      <c r="F22" s="526" t="s">
        <v>465</v>
      </c>
      <c r="G22" s="546" t="s">
        <v>1459</v>
      </c>
      <c r="H22" s="515">
        <v>26</v>
      </c>
      <c r="I22" s="516">
        <v>26</v>
      </c>
      <c r="J22" s="516">
        <v>5</v>
      </c>
      <c r="K22" s="529">
        <v>3</v>
      </c>
      <c r="L22" s="517">
        <v>2</v>
      </c>
      <c r="M22" s="518"/>
      <c r="N22" s="519"/>
      <c r="O22" s="519"/>
      <c r="P22" s="519"/>
      <c r="Q22" s="519"/>
      <c r="R22" s="520"/>
      <c r="S22" s="521">
        <f t="shared" ref="S22:S44" si="15">H22-M22</f>
        <v>26</v>
      </c>
      <c r="T22" s="521">
        <f t="shared" ref="T22:T44" si="16">I22-N22</f>
        <v>26</v>
      </c>
      <c r="U22" s="521">
        <f t="shared" ref="U22:U44" si="17">J22-O22</f>
        <v>5</v>
      </c>
      <c r="V22" s="521">
        <f t="shared" ref="V22:V44" si="18">K22-P22</f>
        <v>3</v>
      </c>
      <c r="W22" s="521">
        <f t="shared" ref="W22:W44" si="19">L22-Q22</f>
        <v>2</v>
      </c>
      <c r="X22" s="510" t="s">
        <v>1456</v>
      </c>
    </row>
    <row r="23" spans="1:24" x14ac:dyDescent="0.2">
      <c r="A23" s="511" t="s">
        <v>378</v>
      </c>
      <c r="B23" s="512" t="s">
        <v>462</v>
      </c>
      <c r="C23" s="512" t="s">
        <v>481</v>
      </c>
      <c r="D23" s="552" t="s">
        <v>41</v>
      </c>
      <c r="E23" s="512" t="s">
        <v>40</v>
      </c>
      <c r="F23" s="513" t="s">
        <v>465</v>
      </c>
      <c r="G23" s="530"/>
      <c r="H23" s="515">
        <v>0</v>
      </c>
      <c r="I23" s="516">
        <v>0</v>
      </c>
      <c r="J23" s="516">
        <v>0</v>
      </c>
      <c r="K23" s="529">
        <v>15</v>
      </c>
      <c r="L23" s="517">
        <v>0</v>
      </c>
      <c r="M23" s="518"/>
      <c r="N23" s="519"/>
      <c r="O23" s="519"/>
      <c r="P23" s="519">
        <v>15</v>
      </c>
      <c r="Q23" s="519"/>
      <c r="R23" s="520" t="s">
        <v>462</v>
      </c>
      <c r="S23" s="521">
        <f t="shared" si="15"/>
        <v>0</v>
      </c>
      <c r="T23" s="521">
        <f t="shared" si="16"/>
        <v>0</v>
      </c>
      <c r="U23" s="521">
        <f t="shared" si="17"/>
        <v>0</v>
      </c>
      <c r="V23" s="521">
        <f t="shared" si="18"/>
        <v>0</v>
      </c>
      <c r="W23" s="521">
        <f t="shared" si="19"/>
        <v>0</v>
      </c>
      <c r="X23" s="510"/>
    </row>
    <row r="24" spans="1:24" x14ac:dyDescent="0.2">
      <c r="A24" s="524" t="s">
        <v>378</v>
      </c>
      <c r="B24" s="525" t="s">
        <v>462</v>
      </c>
      <c r="C24" s="525" t="s">
        <v>481</v>
      </c>
      <c r="D24" s="551" t="s">
        <v>72</v>
      </c>
      <c r="E24" s="525" t="s">
        <v>71</v>
      </c>
      <c r="F24" s="526" t="s">
        <v>465</v>
      </c>
      <c r="G24" s="546"/>
      <c r="H24" s="533">
        <v>0</v>
      </c>
      <c r="I24" s="534">
        <v>0</v>
      </c>
      <c r="J24" s="534"/>
      <c r="K24" s="534"/>
      <c r="L24" s="535"/>
      <c r="M24" s="518"/>
      <c r="N24" s="519"/>
      <c r="O24" s="519"/>
      <c r="P24" s="519"/>
      <c r="Q24" s="519"/>
      <c r="R24" s="520" t="s">
        <v>1458</v>
      </c>
      <c r="S24" s="521">
        <f t="shared" si="15"/>
        <v>0</v>
      </c>
      <c r="T24" s="521">
        <f t="shared" si="16"/>
        <v>0</v>
      </c>
      <c r="U24" s="521">
        <f t="shared" si="17"/>
        <v>0</v>
      </c>
      <c r="V24" s="521">
        <f t="shared" si="18"/>
        <v>0</v>
      </c>
      <c r="W24" s="521">
        <f t="shared" si="19"/>
        <v>0</v>
      </c>
      <c r="X24" s="510"/>
    </row>
    <row r="25" spans="1:24" x14ac:dyDescent="0.2">
      <c r="A25" s="511" t="s">
        <v>378</v>
      </c>
      <c r="B25" s="512" t="s">
        <v>462</v>
      </c>
      <c r="C25" s="512" t="s">
        <v>481</v>
      </c>
      <c r="D25" s="552" t="s">
        <v>43</v>
      </c>
      <c r="E25" s="512" t="s">
        <v>42</v>
      </c>
      <c r="F25" s="513" t="s">
        <v>465</v>
      </c>
      <c r="G25" s="530"/>
      <c r="H25" s="533"/>
      <c r="I25" s="534"/>
      <c r="J25" s="534"/>
      <c r="K25" s="534"/>
      <c r="L25" s="535"/>
      <c r="M25" s="518"/>
      <c r="N25" s="519"/>
      <c r="O25" s="519">
        <v>20</v>
      </c>
      <c r="P25" s="519">
        <v>10</v>
      </c>
      <c r="Q25" s="519"/>
      <c r="R25" s="520" t="s">
        <v>1458</v>
      </c>
      <c r="S25" s="521">
        <f t="shared" si="15"/>
        <v>0</v>
      </c>
      <c r="T25" s="521">
        <f t="shared" si="16"/>
        <v>0</v>
      </c>
      <c r="U25" s="521">
        <f t="shared" si="17"/>
        <v>-20</v>
      </c>
      <c r="V25" s="521">
        <f t="shared" si="18"/>
        <v>-10</v>
      </c>
      <c r="W25" s="521">
        <f t="shared" si="19"/>
        <v>0</v>
      </c>
      <c r="X25" s="510"/>
    </row>
    <row r="26" spans="1:24" ht="24" x14ac:dyDescent="0.2">
      <c r="A26" s="524" t="s">
        <v>378</v>
      </c>
      <c r="B26" s="525" t="s">
        <v>462</v>
      </c>
      <c r="C26" s="531" t="s">
        <v>481</v>
      </c>
      <c r="D26" s="553" t="s">
        <v>1464</v>
      </c>
      <c r="E26" s="531" t="s">
        <v>75</v>
      </c>
      <c r="F26" s="554" t="s">
        <v>465</v>
      </c>
      <c r="G26" s="532"/>
      <c r="H26" s="533">
        <v>10</v>
      </c>
      <c r="I26" s="534">
        <v>10</v>
      </c>
      <c r="J26" s="534">
        <v>60</v>
      </c>
      <c r="K26" s="534">
        <v>10</v>
      </c>
      <c r="L26" s="535">
        <v>0</v>
      </c>
      <c r="M26" s="518"/>
      <c r="N26" s="519"/>
      <c r="O26" s="519"/>
      <c r="P26" s="519"/>
      <c r="Q26" s="519"/>
      <c r="R26" s="520" t="s">
        <v>1458</v>
      </c>
      <c r="S26" s="521">
        <f t="shared" si="15"/>
        <v>10</v>
      </c>
      <c r="T26" s="521">
        <f t="shared" si="16"/>
        <v>10</v>
      </c>
      <c r="U26" s="521">
        <f t="shared" si="17"/>
        <v>60</v>
      </c>
      <c r="V26" s="521">
        <f t="shared" si="18"/>
        <v>10</v>
      </c>
      <c r="W26" s="521">
        <f t="shared" si="19"/>
        <v>0</v>
      </c>
      <c r="X26" s="510"/>
    </row>
    <row r="27" spans="1:24" x14ac:dyDescent="0.2">
      <c r="A27" s="524" t="s">
        <v>378</v>
      </c>
      <c r="B27" s="525" t="s">
        <v>424</v>
      </c>
      <c r="C27" s="525" t="s">
        <v>481</v>
      </c>
      <c r="D27" s="551" t="s">
        <v>58</v>
      </c>
      <c r="E27" s="525" t="s">
        <v>57</v>
      </c>
      <c r="F27" s="526" t="s">
        <v>465</v>
      </c>
      <c r="G27" s="527"/>
      <c r="H27" s="528"/>
      <c r="I27" s="516"/>
      <c r="J27" s="516"/>
      <c r="K27" s="516"/>
      <c r="L27" s="517"/>
      <c r="M27" s="518"/>
      <c r="N27" s="519"/>
      <c r="O27" s="519"/>
      <c r="P27" s="519"/>
      <c r="Q27" s="519"/>
      <c r="R27" s="520"/>
      <c r="S27" s="521">
        <f t="shared" si="15"/>
        <v>0</v>
      </c>
      <c r="T27" s="521">
        <f t="shared" si="16"/>
        <v>0</v>
      </c>
      <c r="U27" s="521">
        <f t="shared" si="17"/>
        <v>0</v>
      </c>
      <c r="V27" s="521">
        <f t="shared" si="18"/>
        <v>0</v>
      </c>
      <c r="W27" s="521">
        <f t="shared" si="19"/>
        <v>0</v>
      </c>
      <c r="X27" s="510"/>
    </row>
    <row r="28" spans="1:24" x14ac:dyDescent="0.2">
      <c r="A28" s="511" t="s">
        <v>378</v>
      </c>
      <c r="B28" s="512" t="s">
        <v>462</v>
      </c>
      <c r="C28" s="512" t="s">
        <v>481</v>
      </c>
      <c r="D28" s="552" t="s">
        <v>44</v>
      </c>
      <c r="E28" s="512" t="s">
        <v>45</v>
      </c>
      <c r="F28" s="513" t="s">
        <v>465</v>
      </c>
      <c r="G28" s="530"/>
      <c r="H28" s="533">
        <v>0</v>
      </c>
      <c r="I28" s="534">
        <v>0</v>
      </c>
      <c r="J28" s="534"/>
      <c r="K28" s="534"/>
      <c r="L28" s="535">
        <v>0</v>
      </c>
      <c r="M28" s="518"/>
      <c r="N28" s="519"/>
      <c r="O28" s="519"/>
      <c r="P28" s="519"/>
      <c r="Q28" s="519"/>
      <c r="R28" s="520" t="s">
        <v>462</v>
      </c>
      <c r="S28" s="521">
        <f t="shared" si="15"/>
        <v>0</v>
      </c>
      <c r="T28" s="521">
        <f t="shared" si="16"/>
        <v>0</v>
      </c>
      <c r="U28" s="521">
        <f t="shared" si="17"/>
        <v>0</v>
      </c>
      <c r="V28" s="521">
        <f t="shared" si="18"/>
        <v>0</v>
      </c>
      <c r="W28" s="521">
        <f t="shared" si="19"/>
        <v>0</v>
      </c>
      <c r="X28" s="510"/>
    </row>
    <row r="29" spans="1:24" x14ac:dyDescent="0.2">
      <c r="A29" s="524" t="s">
        <v>378</v>
      </c>
      <c r="B29" s="525" t="s">
        <v>424</v>
      </c>
      <c r="C29" s="525" t="s">
        <v>481</v>
      </c>
      <c r="D29" s="551" t="s">
        <v>52</v>
      </c>
      <c r="E29" s="551" t="s">
        <v>51</v>
      </c>
      <c r="F29" s="526"/>
      <c r="G29" s="527" t="s">
        <v>1459</v>
      </c>
      <c r="H29" s="533">
        <v>52</v>
      </c>
      <c r="I29" s="534">
        <v>52</v>
      </c>
      <c r="J29" s="534">
        <v>2</v>
      </c>
      <c r="K29" s="534">
        <v>1</v>
      </c>
      <c r="L29" s="535">
        <v>1</v>
      </c>
      <c r="M29" s="518">
        <v>0</v>
      </c>
      <c r="N29" s="519">
        <v>0</v>
      </c>
      <c r="O29" s="519">
        <v>0</v>
      </c>
      <c r="P29" s="519">
        <v>0</v>
      </c>
      <c r="Q29" s="519">
        <v>0</v>
      </c>
      <c r="R29" s="520" t="s">
        <v>424</v>
      </c>
      <c r="S29" s="521">
        <f t="shared" si="15"/>
        <v>52</v>
      </c>
      <c r="T29" s="521">
        <f t="shared" si="16"/>
        <v>52</v>
      </c>
      <c r="U29" s="521">
        <f t="shared" si="17"/>
        <v>2</v>
      </c>
      <c r="V29" s="521">
        <f t="shared" si="18"/>
        <v>1</v>
      </c>
      <c r="W29" s="521">
        <f t="shared" si="19"/>
        <v>1</v>
      </c>
      <c r="X29" s="510"/>
    </row>
    <row r="30" spans="1:24" x14ac:dyDescent="0.2">
      <c r="A30" s="511" t="s">
        <v>378</v>
      </c>
      <c r="B30" s="512" t="s">
        <v>462</v>
      </c>
      <c r="C30" s="512" t="s">
        <v>481</v>
      </c>
      <c r="D30" s="552" t="s">
        <v>1465</v>
      </c>
      <c r="E30" s="512" t="s">
        <v>89</v>
      </c>
      <c r="F30" s="513" t="s">
        <v>465</v>
      </c>
      <c r="G30" s="530"/>
      <c r="H30" s="533">
        <v>0</v>
      </c>
      <c r="I30" s="534">
        <v>0</v>
      </c>
      <c r="J30" s="534">
        <v>20</v>
      </c>
      <c r="K30" s="534">
        <v>0</v>
      </c>
      <c r="L30" s="535">
        <v>0</v>
      </c>
      <c r="M30" s="518"/>
      <c r="N30" s="519"/>
      <c r="O30" s="519"/>
      <c r="P30" s="519"/>
      <c r="Q30" s="519"/>
      <c r="R30" s="520" t="s">
        <v>462</v>
      </c>
      <c r="S30" s="521">
        <f t="shared" si="15"/>
        <v>0</v>
      </c>
      <c r="T30" s="521">
        <f t="shared" si="16"/>
        <v>0</v>
      </c>
      <c r="U30" s="521">
        <f t="shared" si="17"/>
        <v>20</v>
      </c>
      <c r="V30" s="521">
        <f t="shared" si="18"/>
        <v>0</v>
      </c>
      <c r="W30" s="521">
        <f t="shared" si="19"/>
        <v>0</v>
      </c>
      <c r="X30" s="510"/>
    </row>
    <row r="31" spans="1:24" x14ac:dyDescent="0.2">
      <c r="A31" s="524" t="s">
        <v>378</v>
      </c>
      <c r="B31" s="525" t="s">
        <v>462</v>
      </c>
      <c r="C31" s="525" t="s">
        <v>481</v>
      </c>
      <c r="D31" s="551" t="s">
        <v>92</v>
      </c>
      <c r="E31" s="525" t="s">
        <v>91</v>
      </c>
      <c r="F31" s="526" t="s">
        <v>465</v>
      </c>
      <c r="G31" s="546"/>
      <c r="H31" s="533">
        <v>32</v>
      </c>
      <c r="I31" s="534">
        <v>32</v>
      </c>
      <c r="J31" s="534">
        <v>3</v>
      </c>
      <c r="K31" s="534">
        <v>2</v>
      </c>
      <c r="L31" s="535">
        <v>1</v>
      </c>
      <c r="M31" s="518">
        <v>32</v>
      </c>
      <c r="N31" s="519">
        <v>32</v>
      </c>
      <c r="O31" s="519">
        <v>3</v>
      </c>
      <c r="P31" s="519">
        <v>2</v>
      </c>
      <c r="Q31" s="519">
        <v>1</v>
      </c>
      <c r="R31" s="520" t="s">
        <v>1458</v>
      </c>
      <c r="S31" s="521">
        <f t="shared" si="15"/>
        <v>0</v>
      </c>
      <c r="T31" s="521">
        <f t="shared" si="16"/>
        <v>0</v>
      </c>
      <c r="U31" s="521">
        <f t="shared" si="17"/>
        <v>0</v>
      </c>
      <c r="V31" s="521">
        <f t="shared" si="18"/>
        <v>0</v>
      </c>
      <c r="W31" s="521">
        <f t="shared" si="19"/>
        <v>0</v>
      </c>
      <c r="X31" s="510"/>
    </row>
    <row r="32" spans="1:24" s="562" customFormat="1" x14ac:dyDescent="0.2">
      <c r="A32" s="511" t="s">
        <v>378</v>
      </c>
      <c r="B32" s="512"/>
      <c r="C32" s="552" t="s">
        <v>481</v>
      </c>
      <c r="D32" s="552" t="s">
        <v>1466</v>
      </c>
      <c r="E32" s="552" t="s">
        <v>137</v>
      </c>
      <c r="F32" s="557" t="s">
        <v>465</v>
      </c>
      <c r="G32" s="556"/>
      <c r="H32" s="528">
        <v>0</v>
      </c>
      <c r="I32" s="516">
        <v>0</v>
      </c>
      <c r="J32" s="516">
        <v>0</v>
      </c>
      <c r="K32" s="516">
        <v>0</v>
      </c>
      <c r="L32" s="517">
        <v>0</v>
      </c>
      <c r="M32" s="558"/>
      <c r="N32" s="559"/>
      <c r="O32" s="559"/>
      <c r="P32" s="559"/>
      <c r="Q32" s="559"/>
      <c r="R32" s="560"/>
      <c r="S32" s="521">
        <f t="shared" si="15"/>
        <v>0</v>
      </c>
      <c r="T32" s="521">
        <f t="shared" si="16"/>
        <v>0</v>
      </c>
      <c r="U32" s="521">
        <f t="shared" si="17"/>
        <v>0</v>
      </c>
      <c r="V32" s="521">
        <f t="shared" si="18"/>
        <v>0</v>
      </c>
      <c r="W32" s="521">
        <f t="shared" si="19"/>
        <v>0</v>
      </c>
      <c r="X32" s="561"/>
    </row>
    <row r="33" spans="1:24" x14ac:dyDescent="0.2">
      <c r="A33" s="524" t="s">
        <v>378</v>
      </c>
      <c r="B33" s="525" t="s">
        <v>462</v>
      </c>
      <c r="C33" s="525" t="s">
        <v>481</v>
      </c>
      <c r="D33" s="551" t="s">
        <v>100</v>
      </c>
      <c r="E33" s="525" t="s">
        <v>99</v>
      </c>
      <c r="F33" s="526" t="s">
        <v>465</v>
      </c>
      <c r="G33" s="527"/>
      <c r="H33" s="533"/>
      <c r="I33" s="534"/>
      <c r="J33" s="534">
        <v>0</v>
      </c>
      <c r="K33" s="534">
        <v>0</v>
      </c>
      <c r="L33" s="535">
        <v>0</v>
      </c>
      <c r="M33" s="518"/>
      <c r="N33" s="519"/>
      <c r="O33" s="519"/>
      <c r="P33" s="519"/>
      <c r="Q33" s="519"/>
      <c r="R33" s="520" t="s">
        <v>1467</v>
      </c>
      <c r="S33" s="521">
        <f t="shared" si="15"/>
        <v>0</v>
      </c>
      <c r="T33" s="521">
        <f t="shared" si="16"/>
        <v>0</v>
      </c>
      <c r="U33" s="521">
        <f t="shared" si="17"/>
        <v>0</v>
      </c>
      <c r="V33" s="521">
        <f t="shared" si="18"/>
        <v>0</v>
      </c>
      <c r="W33" s="521">
        <f t="shared" si="19"/>
        <v>0</v>
      </c>
      <c r="X33" s="510"/>
    </row>
    <row r="34" spans="1:24" x14ac:dyDescent="0.2">
      <c r="A34" s="511" t="s">
        <v>378</v>
      </c>
      <c r="B34" s="512" t="s">
        <v>462</v>
      </c>
      <c r="C34" s="512" t="s">
        <v>481</v>
      </c>
      <c r="D34" s="552" t="s">
        <v>552</v>
      </c>
      <c r="E34" s="512" t="s">
        <v>46</v>
      </c>
      <c r="F34" s="513" t="s">
        <v>465</v>
      </c>
      <c r="G34" s="514"/>
      <c r="H34" s="533">
        <v>0</v>
      </c>
      <c r="I34" s="534">
        <v>0</v>
      </c>
      <c r="J34" s="534">
        <v>0</v>
      </c>
      <c r="K34" s="534">
        <v>0</v>
      </c>
      <c r="L34" s="535">
        <v>0</v>
      </c>
      <c r="M34" s="518"/>
      <c r="N34" s="519"/>
      <c r="O34" s="519"/>
      <c r="P34" s="519"/>
      <c r="Q34" s="519"/>
      <c r="R34" s="520" t="s">
        <v>462</v>
      </c>
      <c r="S34" s="521">
        <f t="shared" si="15"/>
        <v>0</v>
      </c>
      <c r="T34" s="521">
        <f t="shared" si="16"/>
        <v>0</v>
      </c>
      <c r="U34" s="521">
        <f t="shared" si="17"/>
        <v>0</v>
      </c>
      <c r="V34" s="521">
        <f t="shared" si="18"/>
        <v>0</v>
      </c>
      <c r="W34" s="521">
        <f t="shared" si="19"/>
        <v>0</v>
      </c>
      <c r="X34" s="510"/>
    </row>
    <row r="35" spans="1:24" x14ac:dyDescent="0.2">
      <c r="A35" s="524" t="s">
        <v>378</v>
      </c>
      <c r="B35" s="525" t="s">
        <v>1462</v>
      </c>
      <c r="C35" s="525" t="s">
        <v>481</v>
      </c>
      <c r="D35" s="551" t="s">
        <v>1468</v>
      </c>
      <c r="E35" s="525" t="s">
        <v>107</v>
      </c>
      <c r="F35" s="526" t="s">
        <v>465</v>
      </c>
      <c r="G35" s="532"/>
      <c r="H35" s="515">
        <v>8</v>
      </c>
      <c r="I35" s="529">
        <v>8</v>
      </c>
      <c r="J35" s="516">
        <v>55</v>
      </c>
      <c r="K35" s="516">
        <v>0</v>
      </c>
      <c r="L35" s="517">
        <v>2</v>
      </c>
      <c r="M35" s="518"/>
      <c r="N35" s="519"/>
      <c r="O35" s="519"/>
      <c r="P35" s="519"/>
      <c r="Q35" s="519"/>
      <c r="R35" s="520"/>
      <c r="S35" s="521">
        <f t="shared" si="15"/>
        <v>8</v>
      </c>
      <c r="T35" s="521">
        <f t="shared" si="16"/>
        <v>8</v>
      </c>
      <c r="U35" s="521">
        <f t="shared" si="17"/>
        <v>55</v>
      </c>
      <c r="V35" s="521">
        <f t="shared" si="18"/>
        <v>0</v>
      </c>
      <c r="W35" s="521">
        <f t="shared" si="19"/>
        <v>2</v>
      </c>
      <c r="X35" s="510"/>
    </row>
    <row r="36" spans="1:24" x14ac:dyDescent="0.2">
      <c r="A36" s="511" t="s">
        <v>378</v>
      </c>
      <c r="B36" s="512" t="s">
        <v>462</v>
      </c>
      <c r="C36" s="512" t="s">
        <v>481</v>
      </c>
      <c r="D36" s="552" t="s">
        <v>1469</v>
      </c>
      <c r="E36" s="512" t="s">
        <v>117</v>
      </c>
      <c r="F36" s="513" t="s">
        <v>465</v>
      </c>
      <c r="G36" s="514"/>
      <c r="H36" s="533">
        <v>0</v>
      </c>
      <c r="I36" s="534">
        <v>0</v>
      </c>
      <c r="J36" s="534">
        <v>0</v>
      </c>
      <c r="K36" s="534">
        <v>0</v>
      </c>
      <c r="L36" s="535">
        <v>0</v>
      </c>
      <c r="M36" s="518"/>
      <c r="N36" s="519"/>
      <c r="O36" s="519"/>
      <c r="P36" s="519"/>
      <c r="Q36" s="519"/>
      <c r="R36" s="520" t="s">
        <v>1458</v>
      </c>
      <c r="S36" s="521">
        <f t="shared" si="15"/>
        <v>0</v>
      </c>
      <c r="T36" s="521">
        <f t="shared" si="16"/>
        <v>0</v>
      </c>
      <c r="U36" s="521">
        <f t="shared" si="17"/>
        <v>0</v>
      </c>
      <c r="V36" s="521">
        <f t="shared" si="18"/>
        <v>0</v>
      </c>
      <c r="W36" s="521">
        <f t="shared" si="19"/>
        <v>0</v>
      </c>
      <c r="X36" s="510"/>
    </row>
    <row r="37" spans="1:24" x14ac:dyDescent="0.2">
      <c r="A37" s="524" t="s">
        <v>378</v>
      </c>
      <c r="B37" s="525" t="s">
        <v>424</v>
      </c>
      <c r="C37" s="525" t="s">
        <v>481</v>
      </c>
      <c r="D37" s="551" t="s">
        <v>1470</v>
      </c>
      <c r="E37" s="525" t="s">
        <v>123</v>
      </c>
      <c r="F37" s="526" t="s">
        <v>465</v>
      </c>
      <c r="G37" s="546" t="s">
        <v>1459</v>
      </c>
      <c r="H37" s="528">
        <v>8</v>
      </c>
      <c r="I37" s="529">
        <v>8</v>
      </c>
      <c r="J37" s="529">
        <v>0</v>
      </c>
      <c r="K37" s="516">
        <v>0</v>
      </c>
      <c r="L37" s="517">
        <v>0</v>
      </c>
      <c r="M37" s="518"/>
      <c r="N37" s="519"/>
      <c r="O37" s="519"/>
      <c r="P37" s="519"/>
      <c r="Q37" s="519"/>
      <c r="R37" s="520"/>
      <c r="S37" s="521">
        <f t="shared" si="15"/>
        <v>8</v>
      </c>
      <c r="T37" s="521">
        <f t="shared" si="16"/>
        <v>8</v>
      </c>
      <c r="U37" s="521">
        <f t="shared" si="17"/>
        <v>0</v>
      </c>
      <c r="V37" s="521">
        <f t="shared" si="18"/>
        <v>0</v>
      </c>
      <c r="W37" s="521">
        <f t="shared" si="19"/>
        <v>0</v>
      </c>
      <c r="X37" s="510" t="s">
        <v>1456</v>
      </c>
    </row>
    <row r="38" spans="1:24" s="562" customFormat="1" x14ac:dyDescent="0.2">
      <c r="A38" s="511" t="s">
        <v>378</v>
      </c>
      <c r="B38" s="512"/>
      <c r="C38" s="552" t="s">
        <v>481</v>
      </c>
      <c r="D38" s="552" t="s">
        <v>1471</v>
      </c>
      <c r="E38" s="552" t="s">
        <v>63</v>
      </c>
      <c r="F38" s="557" t="s">
        <v>465</v>
      </c>
      <c r="G38" s="556"/>
      <c r="H38" s="528"/>
      <c r="I38" s="516"/>
      <c r="J38" s="516">
        <v>0</v>
      </c>
      <c r="K38" s="516">
        <v>0</v>
      </c>
      <c r="L38" s="517">
        <v>0</v>
      </c>
      <c r="M38" s="558"/>
      <c r="N38" s="559"/>
      <c r="O38" s="559"/>
      <c r="P38" s="559"/>
      <c r="Q38" s="559"/>
      <c r="R38" s="560"/>
      <c r="S38" s="521">
        <f t="shared" si="15"/>
        <v>0</v>
      </c>
      <c r="T38" s="521">
        <f t="shared" si="16"/>
        <v>0</v>
      </c>
      <c r="U38" s="521">
        <f t="shared" si="17"/>
        <v>0</v>
      </c>
      <c r="V38" s="521">
        <f t="shared" si="18"/>
        <v>0</v>
      </c>
      <c r="W38" s="521">
        <f t="shared" si="19"/>
        <v>0</v>
      </c>
      <c r="X38" s="561"/>
    </row>
    <row r="39" spans="1:24" x14ac:dyDescent="0.2">
      <c r="A39" s="524" t="s">
        <v>378</v>
      </c>
      <c r="B39" s="525" t="s">
        <v>424</v>
      </c>
      <c r="C39" s="525" t="s">
        <v>481</v>
      </c>
      <c r="D39" s="551" t="s">
        <v>1472</v>
      </c>
      <c r="E39" s="525" t="s">
        <v>125</v>
      </c>
      <c r="F39" s="526" t="s">
        <v>465</v>
      </c>
      <c r="G39" s="563" t="s">
        <v>1459</v>
      </c>
      <c r="H39" s="528">
        <v>5</v>
      </c>
      <c r="I39" s="529">
        <v>5</v>
      </c>
      <c r="J39" s="516">
        <v>0</v>
      </c>
      <c r="K39" s="516">
        <v>0</v>
      </c>
      <c r="L39" s="517">
        <v>0</v>
      </c>
      <c r="M39" s="518"/>
      <c r="N39" s="519"/>
      <c r="O39" s="519"/>
      <c r="P39" s="519"/>
      <c r="Q39" s="519"/>
      <c r="R39" s="520"/>
      <c r="S39" s="521">
        <f t="shared" si="15"/>
        <v>5</v>
      </c>
      <c r="T39" s="521">
        <f t="shared" si="16"/>
        <v>5</v>
      </c>
      <c r="U39" s="521">
        <f t="shared" si="17"/>
        <v>0</v>
      </c>
      <c r="V39" s="521">
        <f t="shared" si="18"/>
        <v>0</v>
      </c>
      <c r="W39" s="521">
        <f t="shared" si="19"/>
        <v>0</v>
      </c>
      <c r="X39" s="510" t="s">
        <v>1456</v>
      </c>
    </row>
    <row r="40" spans="1:24" x14ac:dyDescent="0.2">
      <c r="A40" s="511" t="s">
        <v>378</v>
      </c>
      <c r="B40" s="512" t="s">
        <v>424</v>
      </c>
      <c r="C40" s="512" t="s">
        <v>481</v>
      </c>
      <c r="D40" s="552" t="s">
        <v>1473</v>
      </c>
      <c r="E40" s="512" t="s">
        <v>139</v>
      </c>
      <c r="F40" s="513" t="s">
        <v>465</v>
      </c>
      <c r="G40" s="564" t="s">
        <v>1459</v>
      </c>
      <c r="H40" s="528">
        <v>8</v>
      </c>
      <c r="I40" s="529">
        <v>8</v>
      </c>
      <c r="J40" s="516">
        <v>0</v>
      </c>
      <c r="K40" s="516">
        <v>0</v>
      </c>
      <c r="L40" s="517">
        <v>0</v>
      </c>
      <c r="M40" s="518"/>
      <c r="N40" s="519"/>
      <c r="O40" s="519"/>
      <c r="P40" s="519"/>
      <c r="Q40" s="519"/>
      <c r="R40" s="520"/>
      <c r="S40" s="521">
        <f t="shared" si="15"/>
        <v>8</v>
      </c>
      <c r="T40" s="521">
        <f t="shared" si="16"/>
        <v>8</v>
      </c>
      <c r="U40" s="521">
        <f t="shared" si="17"/>
        <v>0</v>
      </c>
      <c r="V40" s="521">
        <f t="shared" si="18"/>
        <v>0</v>
      </c>
      <c r="W40" s="521">
        <f t="shared" si="19"/>
        <v>0</v>
      </c>
      <c r="X40" s="510" t="s">
        <v>1456</v>
      </c>
    </row>
    <row r="41" spans="1:24" x14ac:dyDescent="0.2">
      <c r="A41" s="524" t="s">
        <v>378</v>
      </c>
      <c r="B41" s="525" t="s">
        <v>424</v>
      </c>
      <c r="C41" s="525" t="s">
        <v>481</v>
      </c>
      <c r="D41" s="551" t="s">
        <v>1474</v>
      </c>
      <c r="E41" s="525" t="s">
        <v>920</v>
      </c>
      <c r="F41" s="526" t="s">
        <v>465</v>
      </c>
      <c r="G41" s="546" t="s">
        <v>1459</v>
      </c>
      <c r="H41" s="528"/>
      <c r="I41" s="516"/>
      <c r="J41" s="516">
        <v>38</v>
      </c>
      <c r="K41" s="516"/>
      <c r="L41" s="517">
        <v>0</v>
      </c>
      <c r="M41" s="518"/>
      <c r="N41" s="519"/>
      <c r="O41" s="519">
        <v>38</v>
      </c>
      <c r="P41" s="519"/>
      <c r="Q41" s="519"/>
      <c r="R41" s="520" t="s">
        <v>424</v>
      </c>
      <c r="S41" s="521">
        <f t="shared" si="15"/>
        <v>0</v>
      </c>
      <c r="T41" s="521">
        <f t="shared" si="16"/>
        <v>0</v>
      </c>
      <c r="U41" s="521">
        <f t="shared" si="17"/>
        <v>0</v>
      </c>
      <c r="V41" s="521">
        <f t="shared" si="18"/>
        <v>0</v>
      </c>
      <c r="W41" s="521">
        <f t="shared" si="19"/>
        <v>0</v>
      </c>
      <c r="X41" s="510"/>
    </row>
    <row r="42" spans="1:24" x14ac:dyDescent="0.2">
      <c r="A42" s="511" t="s">
        <v>378</v>
      </c>
      <c r="B42" s="512" t="s">
        <v>1462</v>
      </c>
      <c r="C42" s="512" t="s">
        <v>481</v>
      </c>
      <c r="D42" s="552" t="s">
        <v>1475</v>
      </c>
      <c r="E42" s="512" t="s">
        <v>119</v>
      </c>
      <c r="F42" s="513" t="s">
        <v>465</v>
      </c>
      <c r="G42" s="514"/>
      <c r="H42" s="515">
        <v>0</v>
      </c>
      <c r="I42" s="529">
        <v>0</v>
      </c>
      <c r="J42" s="516">
        <v>57</v>
      </c>
      <c r="K42" s="516">
        <v>0</v>
      </c>
      <c r="L42" s="517">
        <v>0</v>
      </c>
      <c r="M42" s="518"/>
      <c r="N42" s="519"/>
      <c r="O42" s="519"/>
      <c r="P42" s="519"/>
      <c r="Q42" s="519"/>
      <c r="R42" s="520"/>
      <c r="S42" s="521">
        <f t="shared" si="15"/>
        <v>0</v>
      </c>
      <c r="T42" s="521">
        <f t="shared" si="16"/>
        <v>0</v>
      </c>
      <c r="U42" s="521">
        <f t="shared" si="17"/>
        <v>57</v>
      </c>
      <c r="V42" s="521">
        <f t="shared" si="18"/>
        <v>0</v>
      </c>
      <c r="W42" s="521">
        <f t="shared" si="19"/>
        <v>0</v>
      </c>
      <c r="X42" s="510"/>
    </row>
    <row r="43" spans="1:24" x14ac:dyDescent="0.2">
      <c r="A43" s="524" t="s">
        <v>378</v>
      </c>
      <c r="B43" s="525" t="s">
        <v>424</v>
      </c>
      <c r="C43" s="525" t="s">
        <v>481</v>
      </c>
      <c r="D43" s="551" t="s">
        <v>88</v>
      </c>
      <c r="E43" s="525" t="s">
        <v>87</v>
      </c>
      <c r="F43" s="526" t="s">
        <v>465</v>
      </c>
      <c r="G43" s="546" t="s">
        <v>1459</v>
      </c>
      <c r="H43" s="528">
        <v>13</v>
      </c>
      <c r="I43" s="529">
        <v>13</v>
      </c>
      <c r="J43" s="516">
        <v>0</v>
      </c>
      <c r="K43" s="516">
        <v>13</v>
      </c>
      <c r="L43" s="517">
        <v>2</v>
      </c>
      <c r="M43" s="518"/>
      <c r="N43" s="519"/>
      <c r="O43" s="519"/>
      <c r="P43" s="519"/>
      <c r="Q43" s="519"/>
      <c r="R43" s="520"/>
      <c r="S43" s="521">
        <f t="shared" si="15"/>
        <v>13</v>
      </c>
      <c r="T43" s="521">
        <f t="shared" si="16"/>
        <v>13</v>
      </c>
      <c r="U43" s="521">
        <f t="shared" si="17"/>
        <v>0</v>
      </c>
      <c r="V43" s="521">
        <f t="shared" si="18"/>
        <v>13</v>
      </c>
      <c r="W43" s="521">
        <f t="shared" si="19"/>
        <v>2</v>
      </c>
      <c r="X43" s="510" t="s">
        <v>1456</v>
      </c>
    </row>
    <row r="44" spans="1:24" s="566" customFormat="1" x14ac:dyDescent="0.2">
      <c r="A44" s="511" t="s">
        <v>378</v>
      </c>
      <c r="B44" s="512" t="s">
        <v>424</v>
      </c>
      <c r="C44" s="512" t="s">
        <v>481</v>
      </c>
      <c r="D44" s="552" t="s">
        <v>1476</v>
      </c>
      <c r="E44" s="512"/>
      <c r="F44" s="513"/>
      <c r="G44" s="530" t="s">
        <v>1459</v>
      </c>
      <c r="H44" s="517">
        <v>6</v>
      </c>
      <c r="I44" s="517">
        <v>6</v>
      </c>
      <c r="J44" s="517">
        <v>0</v>
      </c>
      <c r="K44" s="517">
        <v>0</v>
      </c>
      <c r="L44" s="517">
        <v>0</v>
      </c>
      <c r="M44" s="519"/>
      <c r="N44" s="519"/>
      <c r="O44" s="519"/>
      <c r="P44" s="519"/>
      <c r="Q44" s="519"/>
      <c r="R44" s="520" t="s">
        <v>463</v>
      </c>
      <c r="S44" s="521">
        <f t="shared" si="15"/>
        <v>6</v>
      </c>
      <c r="T44" s="521">
        <f t="shared" si="16"/>
        <v>6</v>
      </c>
      <c r="U44" s="521">
        <f t="shared" si="17"/>
        <v>0</v>
      </c>
      <c r="V44" s="521">
        <f t="shared" si="18"/>
        <v>0</v>
      </c>
      <c r="W44" s="521">
        <f t="shared" si="19"/>
        <v>0</v>
      </c>
      <c r="X44" s="565"/>
    </row>
    <row r="45" spans="1:24" ht="14.45" customHeight="1" x14ac:dyDescent="0.2">
      <c r="A45" s="537" t="s">
        <v>3</v>
      </c>
      <c r="B45" s="538"/>
      <c r="C45" s="538"/>
      <c r="D45" s="539"/>
      <c r="E45" s="540"/>
      <c r="F45" s="541"/>
      <c r="G45" s="542"/>
      <c r="H45" s="543">
        <f t="shared" ref="H45:Q45" si="20">SUM(H22:H44)</f>
        <v>168</v>
      </c>
      <c r="I45" s="543">
        <f t="shared" si="20"/>
        <v>168</v>
      </c>
      <c r="J45" s="543">
        <f t="shared" si="20"/>
        <v>240</v>
      </c>
      <c r="K45" s="543">
        <f t="shared" si="20"/>
        <v>44</v>
      </c>
      <c r="L45" s="543">
        <f t="shared" si="20"/>
        <v>8</v>
      </c>
      <c r="M45" s="543">
        <f t="shared" si="20"/>
        <v>32</v>
      </c>
      <c r="N45" s="543">
        <f t="shared" si="20"/>
        <v>32</v>
      </c>
      <c r="O45" s="543">
        <f t="shared" si="20"/>
        <v>61</v>
      </c>
      <c r="P45" s="543">
        <f t="shared" si="20"/>
        <v>27</v>
      </c>
      <c r="Q45" s="543">
        <f t="shared" si="20"/>
        <v>1</v>
      </c>
      <c r="R45" s="545"/>
      <c r="S45" s="543">
        <f>SUMIF($S22:$S$44,"&gt;0")</f>
        <v>136</v>
      </c>
      <c r="T45" s="540">
        <f>SUMIF($T22:$T$44,"&gt;0")</f>
        <v>136</v>
      </c>
      <c r="U45" s="540">
        <f>SUMIF($U22:$U$44,"&gt;0")</f>
        <v>199</v>
      </c>
      <c r="V45" s="540">
        <f>SUMIF($V22:$V$44,"&gt;0")</f>
        <v>27</v>
      </c>
      <c r="W45" s="544">
        <f>SUMIF($W22:$W$44,"&gt;0")</f>
        <v>7</v>
      </c>
      <c r="X45" s="510"/>
    </row>
    <row r="46" spans="1:24" s="562" customFormat="1" ht="14.45" customHeight="1" x14ac:dyDescent="0.2">
      <c r="A46" s="524" t="s">
        <v>1477</v>
      </c>
      <c r="B46" s="525" t="s">
        <v>424</v>
      </c>
      <c r="C46" s="525" t="s">
        <v>720</v>
      </c>
      <c r="D46" s="525" t="s">
        <v>1557</v>
      </c>
      <c r="E46" s="525"/>
      <c r="F46" s="526"/>
      <c r="G46" s="550"/>
      <c r="H46" s="547">
        <v>37</v>
      </c>
      <c r="I46" s="548">
        <v>90</v>
      </c>
      <c r="J46" s="548">
        <v>0</v>
      </c>
      <c r="K46" s="548">
        <v>0</v>
      </c>
      <c r="L46" s="549">
        <v>0</v>
      </c>
      <c r="M46" s="518"/>
      <c r="N46" s="519"/>
      <c r="O46" s="519"/>
      <c r="P46" s="519"/>
      <c r="Q46" s="519"/>
      <c r="R46" s="520"/>
      <c r="S46" s="521"/>
      <c r="T46" s="522"/>
      <c r="U46" s="522"/>
      <c r="V46" s="522"/>
      <c r="W46" s="523"/>
      <c r="X46" s="561"/>
    </row>
    <row r="47" spans="1:24" s="562" customFormat="1" ht="14.45" customHeight="1" x14ac:dyDescent="0.2">
      <c r="A47" s="537" t="s">
        <v>3</v>
      </c>
      <c r="B47" s="538"/>
      <c r="C47" s="538"/>
      <c r="D47" s="539"/>
      <c r="E47" s="540"/>
      <c r="F47" s="541"/>
      <c r="G47" s="542"/>
      <c r="H47" s="543">
        <f>SUM(H46)</f>
        <v>37</v>
      </c>
      <c r="I47" s="543">
        <f t="shared" ref="I47:L47" si="21">SUM(I46)</f>
        <v>90</v>
      </c>
      <c r="J47" s="543">
        <f t="shared" si="21"/>
        <v>0</v>
      </c>
      <c r="K47" s="543">
        <f t="shared" si="21"/>
        <v>0</v>
      </c>
      <c r="L47" s="543">
        <f t="shared" si="21"/>
        <v>0</v>
      </c>
      <c r="M47" s="543">
        <f t="shared" ref="M47:Q47" si="22">SUM(M46)</f>
        <v>0</v>
      </c>
      <c r="N47" s="543">
        <f t="shared" si="22"/>
        <v>0</v>
      </c>
      <c r="O47" s="543">
        <f t="shared" si="22"/>
        <v>0</v>
      </c>
      <c r="P47" s="543">
        <f t="shared" si="22"/>
        <v>0</v>
      </c>
      <c r="Q47" s="543">
        <f t="shared" si="22"/>
        <v>0</v>
      </c>
      <c r="R47" s="545"/>
      <c r="S47" s="543">
        <f>SUMIF($S46:$S$46,"&gt;0")</f>
        <v>0</v>
      </c>
      <c r="T47" s="543">
        <f>SUMIF($T46:$T$46,"&gt;0")</f>
        <v>0</v>
      </c>
      <c r="U47" s="543">
        <f>SUMIF($U46:$U$46,"&gt;0")</f>
        <v>0</v>
      </c>
      <c r="V47" s="543">
        <f>SUMIF($V46:$V$46,"&gt;0")</f>
        <v>0</v>
      </c>
      <c r="W47" s="543">
        <f>SUMIF($W46:$W$46,"&gt;0")</f>
        <v>0</v>
      </c>
      <c r="X47" s="561"/>
    </row>
    <row r="48" spans="1:24" x14ac:dyDescent="0.2">
      <c r="A48" s="511" t="s">
        <v>1477</v>
      </c>
      <c r="B48" s="512" t="s">
        <v>1503</v>
      </c>
      <c r="C48" s="512" t="s">
        <v>1230</v>
      </c>
      <c r="D48" s="512" t="s">
        <v>1227</v>
      </c>
      <c r="E48" s="512"/>
      <c r="F48" s="513"/>
      <c r="G48" s="514"/>
      <c r="H48" s="547">
        <v>0</v>
      </c>
      <c r="I48" s="548">
        <v>0</v>
      </c>
      <c r="J48" s="548"/>
      <c r="K48" s="548"/>
      <c r="L48" s="549"/>
      <c r="M48" s="518"/>
      <c r="N48" s="519"/>
      <c r="O48" s="519"/>
      <c r="P48" s="519"/>
      <c r="Q48" s="519"/>
      <c r="R48" s="520"/>
      <c r="S48" s="521"/>
      <c r="T48" s="522"/>
      <c r="U48" s="522"/>
      <c r="V48" s="522"/>
      <c r="W48" s="523"/>
      <c r="X48" s="510"/>
    </row>
    <row r="49" spans="1:24" s="562" customFormat="1" ht="14.45" customHeight="1" x14ac:dyDescent="0.2">
      <c r="A49" s="537" t="s">
        <v>3</v>
      </c>
      <c r="B49" s="538"/>
      <c r="C49" s="538"/>
      <c r="D49" s="539"/>
      <c r="E49" s="540"/>
      <c r="F49" s="541"/>
      <c r="G49" s="542"/>
      <c r="H49" s="543">
        <f>SUM(H48)</f>
        <v>0</v>
      </c>
      <c r="I49" s="543">
        <f t="shared" ref="I49:L49" si="23">SUM(I48)</f>
        <v>0</v>
      </c>
      <c r="J49" s="543">
        <f t="shared" si="23"/>
        <v>0</v>
      </c>
      <c r="K49" s="543">
        <f t="shared" si="23"/>
        <v>0</v>
      </c>
      <c r="L49" s="543">
        <f t="shared" si="23"/>
        <v>0</v>
      </c>
      <c r="M49" s="543">
        <f t="shared" ref="M49:R49" si="24">SUM(M48)</f>
        <v>0</v>
      </c>
      <c r="N49" s="543">
        <f t="shared" si="24"/>
        <v>0</v>
      </c>
      <c r="O49" s="543">
        <f t="shared" si="24"/>
        <v>0</v>
      </c>
      <c r="P49" s="543">
        <f t="shared" si="24"/>
        <v>0</v>
      </c>
      <c r="Q49" s="543">
        <f t="shared" si="24"/>
        <v>0</v>
      </c>
      <c r="R49" s="545">
        <f t="shared" si="24"/>
        <v>0</v>
      </c>
      <c r="S49" s="543">
        <f>SUMIF($S$48:$S48,"&gt;0")</f>
        <v>0</v>
      </c>
      <c r="T49" s="543">
        <f>SUMIF($T$48:$T48,"&gt;0")</f>
        <v>0</v>
      </c>
      <c r="U49" s="543">
        <f>SUMIF($U$48:$U48,"&gt;0")</f>
        <v>0</v>
      </c>
      <c r="V49" s="543">
        <f>SUMIF($V$48:$V48,"&gt;0")</f>
        <v>0</v>
      </c>
      <c r="W49" s="543">
        <f>SUMIF($W$48:$W48,"&gt;0")</f>
        <v>0</v>
      </c>
      <c r="X49" s="561"/>
    </row>
    <row r="50" spans="1:24" x14ac:dyDescent="0.2">
      <c r="A50" s="511" t="s">
        <v>1477</v>
      </c>
      <c r="B50" s="512" t="s">
        <v>424</v>
      </c>
      <c r="C50" s="552" t="s">
        <v>146</v>
      </c>
      <c r="D50" s="552" t="s">
        <v>1478</v>
      </c>
      <c r="E50" s="512" t="s">
        <v>381</v>
      </c>
      <c r="F50" s="513" t="s">
        <v>465</v>
      </c>
      <c r="G50" s="530"/>
      <c r="H50" s="528">
        <v>4</v>
      </c>
      <c r="I50" s="516"/>
      <c r="J50" s="516"/>
      <c r="K50" s="529">
        <v>72</v>
      </c>
      <c r="L50" s="517">
        <v>0</v>
      </c>
      <c r="M50" s="518"/>
      <c r="N50" s="519"/>
      <c r="O50" s="519">
        <v>40</v>
      </c>
      <c r="P50" s="519"/>
      <c r="Q50" s="519"/>
      <c r="R50" s="520" t="s">
        <v>424</v>
      </c>
      <c r="S50" s="521">
        <f t="shared" ref="S50:W59" si="25">H50-M50</f>
        <v>4</v>
      </c>
      <c r="T50" s="522">
        <f t="shared" si="25"/>
        <v>0</v>
      </c>
      <c r="U50" s="522">
        <f t="shared" si="25"/>
        <v>-40</v>
      </c>
      <c r="V50" s="522">
        <f t="shared" si="25"/>
        <v>72</v>
      </c>
      <c r="W50" s="523">
        <f t="shared" si="25"/>
        <v>0</v>
      </c>
      <c r="X50" s="510"/>
    </row>
    <row r="51" spans="1:24" x14ac:dyDescent="0.2">
      <c r="A51" s="511" t="s">
        <v>1477</v>
      </c>
      <c r="B51" s="512" t="s">
        <v>424</v>
      </c>
      <c r="C51" s="552" t="s">
        <v>146</v>
      </c>
      <c r="D51" s="552" t="s">
        <v>1480</v>
      </c>
      <c r="E51" s="512" t="s">
        <v>1481</v>
      </c>
      <c r="F51" s="513" t="s">
        <v>465</v>
      </c>
      <c r="G51" s="530" t="s">
        <v>1459</v>
      </c>
      <c r="H51" s="528">
        <v>46</v>
      </c>
      <c r="I51" s="516">
        <v>46</v>
      </c>
      <c r="J51" s="516">
        <v>0</v>
      </c>
      <c r="K51" s="529">
        <v>0</v>
      </c>
      <c r="L51" s="517">
        <v>1</v>
      </c>
      <c r="M51" s="518">
        <v>36</v>
      </c>
      <c r="N51" s="519">
        <v>36</v>
      </c>
      <c r="O51" s="519"/>
      <c r="P51" s="519"/>
      <c r="Q51" s="519">
        <v>1</v>
      </c>
      <c r="R51" s="520" t="s">
        <v>424</v>
      </c>
      <c r="S51" s="521"/>
      <c r="T51" s="522"/>
      <c r="U51" s="522"/>
      <c r="V51" s="522"/>
      <c r="W51" s="523"/>
      <c r="X51" s="510" t="s">
        <v>1482</v>
      </c>
    </row>
    <row r="52" spans="1:24" x14ac:dyDescent="0.2">
      <c r="A52" s="524" t="s">
        <v>1477</v>
      </c>
      <c r="B52" s="525" t="s">
        <v>1483</v>
      </c>
      <c r="C52" s="551" t="s">
        <v>146</v>
      </c>
      <c r="D52" s="551" t="s">
        <v>1484</v>
      </c>
      <c r="E52" s="525" t="s">
        <v>382</v>
      </c>
      <c r="F52" s="526" t="s">
        <v>465</v>
      </c>
      <c r="G52" s="532"/>
      <c r="H52" s="528">
        <v>13</v>
      </c>
      <c r="I52" s="516">
        <v>13</v>
      </c>
      <c r="J52" s="516">
        <v>0</v>
      </c>
      <c r="K52" s="516">
        <v>13</v>
      </c>
      <c r="L52" s="517">
        <v>0</v>
      </c>
      <c r="M52" s="518"/>
      <c r="N52" s="519"/>
      <c r="O52" s="519"/>
      <c r="P52" s="519"/>
      <c r="Q52" s="519"/>
      <c r="R52" s="520"/>
      <c r="S52" s="521">
        <f t="shared" si="25"/>
        <v>13</v>
      </c>
      <c r="T52" s="522">
        <f t="shared" si="25"/>
        <v>13</v>
      </c>
      <c r="U52" s="522">
        <f t="shared" si="25"/>
        <v>0</v>
      </c>
      <c r="V52" s="522">
        <f t="shared" si="25"/>
        <v>13</v>
      </c>
      <c r="W52" s="523">
        <f t="shared" si="25"/>
        <v>0</v>
      </c>
      <c r="X52" s="510"/>
    </row>
    <row r="53" spans="1:24" x14ac:dyDescent="0.2">
      <c r="A53" s="511" t="s">
        <v>1477</v>
      </c>
      <c r="B53" s="512" t="s">
        <v>424</v>
      </c>
      <c r="C53" s="552" t="s">
        <v>146</v>
      </c>
      <c r="D53" s="552" t="s">
        <v>1485</v>
      </c>
      <c r="E53" s="512" t="s">
        <v>383</v>
      </c>
      <c r="F53" s="513" t="s">
        <v>465</v>
      </c>
      <c r="G53" s="530"/>
      <c r="H53" s="515">
        <v>5</v>
      </c>
      <c r="I53" s="529">
        <v>5</v>
      </c>
      <c r="J53" s="516">
        <v>63</v>
      </c>
      <c r="K53" s="529"/>
      <c r="L53" s="517">
        <v>0</v>
      </c>
      <c r="M53" s="518"/>
      <c r="N53" s="519"/>
      <c r="O53" s="519"/>
      <c r="P53" s="519"/>
      <c r="Q53" s="519"/>
      <c r="R53" s="520" t="s">
        <v>1486</v>
      </c>
      <c r="S53" s="521">
        <f t="shared" si="25"/>
        <v>5</v>
      </c>
      <c r="T53" s="522">
        <f t="shared" si="25"/>
        <v>5</v>
      </c>
      <c r="U53" s="522">
        <f t="shared" si="25"/>
        <v>63</v>
      </c>
      <c r="V53" s="522">
        <f t="shared" si="25"/>
        <v>0</v>
      </c>
      <c r="W53" s="523">
        <f t="shared" si="25"/>
        <v>0</v>
      </c>
      <c r="X53" s="510"/>
    </row>
    <row r="54" spans="1:24" x14ac:dyDescent="0.2">
      <c r="A54" s="524" t="s">
        <v>1477</v>
      </c>
      <c r="B54" s="525" t="s">
        <v>1479</v>
      </c>
      <c r="C54" s="551" t="s">
        <v>146</v>
      </c>
      <c r="D54" s="551" t="s">
        <v>1487</v>
      </c>
      <c r="E54" s="525" t="s">
        <v>1481</v>
      </c>
      <c r="F54" s="526" t="s">
        <v>465</v>
      </c>
      <c r="G54" s="527" t="s">
        <v>1459</v>
      </c>
      <c r="H54" s="515">
        <v>9</v>
      </c>
      <c r="I54" s="529">
        <v>0</v>
      </c>
      <c r="J54" s="516">
        <v>0</v>
      </c>
      <c r="K54" s="529">
        <v>0</v>
      </c>
      <c r="L54" s="517">
        <v>0</v>
      </c>
      <c r="M54" s="518"/>
      <c r="N54" s="519"/>
      <c r="O54" s="519"/>
      <c r="P54" s="519"/>
      <c r="Q54" s="519"/>
      <c r="R54" s="520"/>
      <c r="S54" s="521">
        <f t="shared" si="25"/>
        <v>9</v>
      </c>
      <c r="T54" s="522">
        <f t="shared" si="25"/>
        <v>0</v>
      </c>
      <c r="U54" s="522">
        <f t="shared" si="25"/>
        <v>0</v>
      </c>
      <c r="V54" s="522">
        <f t="shared" si="25"/>
        <v>0</v>
      </c>
      <c r="W54" s="523">
        <f t="shared" si="25"/>
        <v>0</v>
      </c>
      <c r="X54" s="510" t="s">
        <v>1482</v>
      </c>
    </row>
    <row r="55" spans="1:24" x14ac:dyDescent="0.2">
      <c r="A55" s="524" t="s">
        <v>1477</v>
      </c>
      <c r="B55" s="525" t="s">
        <v>1479</v>
      </c>
      <c r="C55" s="551" t="s">
        <v>146</v>
      </c>
      <c r="D55" s="551" t="s">
        <v>1488</v>
      </c>
      <c r="E55" s="525" t="s">
        <v>1481</v>
      </c>
      <c r="F55" s="526" t="s">
        <v>465</v>
      </c>
      <c r="G55" s="527" t="s">
        <v>1459</v>
      </c>
      <c r="H55" s="515"/>
      <c r="I55" s="529"/>
      <c r="J55" s="516"/>
      <c r="K55" s="529"/>
      <c r="L55" s="517"/>
      <c r="M55" s="518"/>
      <c r="N55" s="519"/>
      <c r="O55" s="519"/>
      <c r="P55" s="519"/>
      <c r="Q55" s="519"/>
      <c r="R55" s="520"/>
      <c r="S55" s="521">
        <f t="shared" si="25"/>
        <v>0</v>
      </c>
      <c r="T55" s="522">
        <f t="shared" si="25"/>
        <v>0</v>
      </c>
      <c r="U55" s="522"/>
      <c r="V55" s="522"/>
      <c r="W55" s="523"/>
      <c r="X55" s="510" t="s">
        <v>1482</v>
      </c>
    </row>
    <row r="56" spans="1:24" x14ac:dyDescent="0.2">
      <c r="A56" s="511" t="s">
        <v>1477</v>
      </c>
      <c r="B56" s="512" t="s">
        <v>424</v>
      </c>
      <c r="C56" s="552" t="s">
        <v>146</v>
      </c>
      <c r="D56" s="552" t="s">
        <v>1489</v>
      </c>
      <c r="E56" s="512" t="s">
        <v>147</v>
      </c>
      <c r="F56" s="513" t="s">
        <v>465</v>
      </c>
      <c r="G56" s="530"/>
      <c r="H56" s="547">
        <v>32</v>
      </c>
      <c r="I56" s="548">
        <v>0</v>
      </c>
      <c r="J56" s="516">
        <v>0</v>
      </c>
      <c r="K56" s="516"/>
      <c r="L56" s="517">
        <v>0</v>
      </c>
      <c r="M56" s="518"/>
      <c r="N56" s="519"/>
      <c r="O56" s="519"/>
      <c r="P56" s="519">
        <v>15</v>
      </c>
      <c r="Q56" s="519"/>
      <c r="R56" s="520" t="s">
        <v>424</v>
      </c>
      <c r="S56" s="521">
        <f t="shared" si="25"/>
        <v>32</v>
      </c>
      <c r="T56" s="522">
        <f t="shared" si="25"/>
        <v>0</v>
      </c>
      <c r="U56" s="522">
        <f t="shared" si="25"/>
        <v>0</v>
      </c>
      <c r="V56" s="522">
        <f t="shared" si="25"/>
        <v>-15</v>
      </c>
      <c r="W56" s="523">
        <f t="shared" si="25"/>
        <v>0</v>
      </c>
      <c r="X56" s="510"/>
    </row>
    <row r="57" spans="1:24" x14ac:dyDescent="0.2">
      <c r="A57" s="524" t="s">
        <v>1477</v>
      </c>
      <c r="B57" s="525" t="s">
        <v>424</v>
      </c>
      <c r="C57" s="551" t="s">
        <v>146</v>
      </c>
      <c r="D57" s="551" t="s">
        <v>149</v>
      </c>
      <c r="E57" s="525" t="s">
        <v>148</v>
      </c>
      <c r="F57" s="526" t="s">
        <v>465</v>
      </c>
      <c r="G57" s="532"/>
      <c r="H57" s="528">
        <v>0</v>
      </c>
      <c r="I57" s="516">
        <v>0</v>
      </c>
      <c r="J57" s="516">
        <v>0</v>
      </c>
      <c r="K57" s="529">
        <v>75</v>
      </c>
      <c r="L57" s="517">
        <v>0</v>
      </c>
      <c r="M57" s="518"/>
      <c r="N57" s="519"/>
      <c r="O57" s="519"/>
      <c r="P57" s="519">
        <v>70</v>
      </c>
      <c r="Q57" s="519"/>
      <c r="R57" s="520"/>
      <c r="S57" s="521">
        <f t="shared" si="25"/>
        <v>0</v>
      </c>
      <c r="T57" s="522">
        <f t="shared" si="25"/>
        <v>0</v>
      </c>
      <c r="U57" s="522">
        <f t="shared" si="25"/>
        <v>0</v>
      </c>
      <c r="V57" s="522">
        <f t="shared" si="25"/>
        <v>5</v>
      </c>
      <c r="W57" s="523">
        <f t="shared" si="25"/>
        <v>0</v>
      </c>
      <c r="X57" s="510"/>
    </row>
    <row r="58" spans="1:24" x14ac:dyDescent="0.2">
      <c r="A58" s="511" t="s">
        <v>1477</v>
      </c>
      <c r="B58" s="512" t="s">
        <v>424</v>
      </c>
      <c r="C58" s="552" t="s">
        <v>146</v>
      </c>
      <c r="D58" s="552" t="s">
        <v>1490</v>
      </c>
      <c r="E58" s="512" t="s">
        <v>840</v>
      </c>
      <c r="F58" s="513" t="s">
        <v>465</v>
      </c>
      <c r="G58" s="556"/>
      <c r="H58" s="515">
        <v>40</v>
      </c>
      <c r="I58" s="529">
        <v>40</v>
      </c>
      <c r="J58" s="516">
        <v>0</v>
      </c>
      <c r="K58" s="516">
        <v>0</v>
      </c>
      <c r="L58" s="517">
        <v>0</v>
      </c>
      <c r="M58" s="518"/>
      <c r="N58" s="519"/>
      <c r="O58" s="519"/>
      <c r="P58" s="519"/>
      <c r="Q58" s="519"/>
      <c r="R58" s="520"/>
      <c r="S58" s="521">
        <f t="shared" si="25"/>
        <v>40</v>
      </c>
      <c r="T58" s="522">
        <f t="shared" si="25"/>
        <v>40</v>
      </c>
      <c r="U58" s="522">
        <f t="shared" si="25"/>
        <v>0</v>
      </c>
      <c r="V58" s="522">
        <f t="shared" si="25"/>
        <v>0</v>
      </c>
      <c r="W58" s="523">
        <f t="shared" si="25"/>
        <v>0</v>
      </c>
      <c r="X58" s="510"/>
    </row>
    <row r="59" spans="1:24" x14ac:dyDescent="0.2">
      <c r="A59" s="524" t="s">
        <v>1477</v>
      </c>
      <c r="B59" s="525" t="s">
        <v>1479</v>
      </c>
      <c r="C59" s="551" t="s">
        <v>146</v>
      </c>
      <c r="D59" s="551" t="s">
        <v>951</v>
      </c>
      <c r="E59" s="525" t="s">
        <v>950</v>
      </c>
      <c r="F59" s="526" t="s">
        <v>465</v>
      </c>
      <c r="G59" s="550"/>
      <c r="H59" s="547"/>
      <c r="I59" s="548"/>
      <c r="J59" s="548">
        <v>0</v>
      </c>
      <c r="K59" s="548">
        <v>20</v>
      </c>
      <c r="L59" s="549">
        <v>1</v>
      </c>
      <c r="M59" s="518"/>
      <c r="N59" s="519"/>
      <c r="O59" s="519"/>
      <c r="P59" s="519">
        <v>20</v>
      </c>
      <c r="Q59" s="519"/>
      <c r="R59" s="520" t="s">
        <v>1066</v>
      </c>
      <c r="S59" s="521">
        <f t="shared" si="25"/>
        <v>0</v>
      </c>
      <c r="T59" s="522">
        <f t="shared" si="25"/>
        <v>0</v>
      </c>
      <c r="U59" s="522">
        <f t="shared" si="25"/>
        <v>0</v>
      </c>
      <c r="V59" s="522">
        <f t="shared" si="25"/>
        <v>0</v>
      </c>
      <c r="W59" s="523">
        <f t="shared" si="25"/>
        <v>1</v>
      </c>
      <c r="X59" s="510"/>
    </row>
    <row r="60" spans="1:24" ht="14.45" customHeight="1" x14ac:dyDescent="0.2">
      <c r="A60" s="537" t="s">
        <v>3</v>
      </c>
      <c r="B60" s="538"/>
      <c r="C60" s="538"/>
      <c r="D60" s="539"/>
      <c r="E60" s="540"/>
      <c r="F60" s="541"/>
      <c r="G60" s="542"/>
      <c r="H60" s="543">
        <f>SUM(H50:H59)</f>
        <v>149</v>
      </c>
      <c r="I60" s="543">
        <f t="shared" ref="I60:L60" si="26">SUM(I50:I59)</f>
        <v>104</v>
      </c>
      <c r="J60" s="543">
        <f t="shared" si="26"/>
        <v>63</v>
      </c>
      <c r="K60" s="543">
        <f t="shared" si="26"/>
        <v>180</v>
      </c>
      <c r="L60" s="543">
        <f t="shared" si="26"/>
        <v>2</v>
      </c>
      <c r="M60" s="543">
        <f t="shared" ref="M60:Q60" si="27">SUM(M50:M59)</f>
        <v>36</v>
      </c>
      <c r="N60" s="543">
        <f t="shared" si="27"/>
        <v>36</v>
      </c>
      <c r="O60" s="543">
        <f>SUM(O50:O59)</f>
        <v>40</v>
      </c>
      <c r="P60" s="543">
        <f t="shared" si="27"/>
        <v>105</v>
      </c>
      <c r="Q60" s="543">
        <f t="shared" si="27"/>
        <v>1</v>
      </c>
      <c r="R60" s="545"/>
      <c r="S60" s="543">
        <f>SUMIF($S50:$S$59,"&gt;0")</f>
        <v>103</v>
      </c>
      <c r="T60" s="540">
        <f>SUMIF($T50:$T$59,"&gt;0")</f>
        <v>58</v>
      </c>
      <c r="U60" s="540">
        <f>SUMIF($U50:$U$59,"&gt;0")</f>
        <v>63</v>
      </c>
      <c r="V60" s="540">
        <f>SUMIF($V50:$V$59,"&gt;0")</f>
        <v>90</v>
      </c>
      <c r="W60" s="544">
        <f>SUMIF($W50:$W$59,"&gt;0")</f>
        <v>1</v>
      </c>
      <c r="X60" s="510"/>
    </row>
    <row r="61" spans="1:24" x14ac:dyDescent="0.2">
      <c r="A61" s="524" t="s">
        <v>378</v>
      </c>
      <c r="B61" s="525" t="s">
        <v>1454</v>
      </c>
      <c r="C61" s="525" t="s">
        <v>151</v>
      </c>
      <c r="D61" s="567" t="s">
        <v>1491</v>
      </c>
      <c r="E61" s="531" t="s">
        <v>187</v>
      </c>
      <c r="F61" s="554" t="s">
        <v>467</v>
      </c>
      <c r="G61" s="563"/>
      <c r="H61" s="515"/>
      <c r="I61" s="529">
        <v>0</v>
      </c>
      <c r="J61" s="516">
        <v>0</v>
      </c>
      <c r="K61" s="516">
        <v>0</v>
      </c>
      <c r="L61" s="517"/>
      <c r="M61" s="518"/>
      <c r="N61" s="519"/>
      <c r="O61" s="519"/>
      <c r="P61" s="519"/>
      <c r="Q61" s="519"/>
      <c r="R61" s="520"/>
      <c r="S61" s="521">
        <f t="shared" ref="S61:S69" si="28">H61-M61</f>
        <v>0</v>
      </c>
      <c r="T61" s="521">
        <f t="shared" ref="T61:T69" si="29">I61-N61</f>
        <v>0</v>
      </c>
      <c r="U61" s="521">
        <f t="shared" ref="U61:U69" si="30">J61-O61</f>
        <v>0</v>
      </c>
      <c r="V61" s="521">
        <f t="shared" ref="V61:V69" si="31">K61-P61</f>
        <v>0</v>
      </c>
      <c r="W61" s="521">
        <f t="shared" ref="W61:W69" si="32">L61-Q61</f>
        <v>0</v>
      </c>
      <c r="X61" s="510"/>
    </row>
    <row r="62" spans="1:24" x14ac:dyDescent="0.2">
      <c r="A62" s="524" t="s">
        <v>378</v>
      </c>
      <c r="B62" s="525" t="s">
        <v>424</v>
      </c>
      <c r="C62" s="525" t="s">
        <v>151</v>
      </c>
      <c r="D62" s="551" t="s">
        <v>1492</v>
      </c>
      <c r="E62" s="525" t="s">
        <v>814</v>
      </c>
      <c r="F62" s="526" t="s">
        <v>465</v>
      </c>
      <c r="G62" s="550"/>
      <c r="H62" s="528">
        <v>41</v>
      </c>
      <c r="I62" s="529">
        <v>41</v>
      </c>
      <c r="J62" s="516">
        <v>0</v>
      </c>
      <c r="K62" s="516">
        <v>0</v>
      </c>
      <c r="L62" s="517">
        <v>0</v>
      </c>
      <c r="M62" s="518"/>
      <c r="N62" s="519"/>
      <c r="O62" s="519"/>
      <c r="P62" s="519"/>
      <c r="Q62" s="519"/>
      <c r="R62" s="520" t="s">
        <v>424</v>
      </c>
      <c r="S62" s="521">
        <f t="shared" si="28"/>
        <v>41</v>
      </c>
      <c r="T62" s="521">
        <f t="shared" si="29"/>
        <v>41</v>
      </c>
      <c r="U62" s="521">
        <f t="shared" si="30"/>
        <v>0</v>
      </c>
      <c r="V62" s="521">
        <f t="shared" si="31"/>
        <v>0</v>
      </c>
      <c r="W62" s="521">
        <f t="shared" si="32"/>
        <v>0</v>
      </c>
      <c r="X62" s="510"/>
    </row>
    <row r="63" spans="1:24" x14ac:dyDescent="0.2">
      <c r="A63" s="511" t="s">
        <v>378</v>
      </c>
      <c r="B63" s="512" t="s">
        <v>1454</v>
      </c>
      <c r="C63" s="512" t="s">
        <v>151</v>
      </c>
      <c r="D63" s="552" t="s">
        <v>851</v>
      </c>
      <c r="E63" s="512" t="s">
        <v>850</v>
      </c>
      <c r="F63" s="513" t="s">
        <v>465</v>
      </c>
      <c r="G63" s="568"/>
      <c r="H63" s="528">
        <v>0</v>
      </c>
      <c r="I63" s="516">
        <v>0</v>
      </c>
      <c r="J63" s="516">
        <v>0</v>
      </c>
      <c r="K63" s="516">
        <v>20</v>
      </c>
      <c r="L63" s="517">
        <v>0</v>
      </c>
      <c r="M63" s="518"/>
      <c r="N63" s="519"/>
      <c r="O63" s="519"/>
      <c r="P63" s="519">
        <v>20</v>
      </c>
      <c r="Q63" s="519"/>
      <c r="R63" s="520" t="s">
        <v>1496</v>
      </c>
      <c r="S63" s="521">
        <f t="shared" si="28"/>
        <v>0</v>
      </c>
      <c r="T63" s="521">
        <f t="shared" si="29"/>
        <v>0</v>
      </c>
      <c r="U63" s="521">
        <f t="shared" si="30"/>
        <v>0</v>
      </c>
      <c r="V63" s="521">
        <f t="shared" si="31"/>
        <v>0</v>
      </c>
      <c r="W63" s="521">
        <f t="shared" si="32"/>
        <v>0</v>
      </c>
      <c r="X63" s="510" t="s">
        <v>1493</v>
      </c>
    </row>
    <row r="64" spans="1:24" x14ac:dyDescent="0.2">
      <c r="A64" s="524" t="s">
        <v>378</v>
      </c>
      <c r="B64" s="525" t="s">
        <v>424</v>
      </c>
      <c r="C64" s="525" t="s">
        <v>151</v>
      </c>
      <c r="D64" s="551" t="s">
        <v>1494</v>
      </c>
      <c r="E64" s="525" t="s">
        <v>159</v>
      </c>
      <c r="F64" s="526" t="s">
        <v>465</v>
      </c>
      <c r="G64" s="550"/>
      <c r="H64" s="515">
        <v>82</v>
      </c>
      <c r="I64" s="529">
        <v>90</v>
      </c>
      <c r="J64" s="529">
        <v>0</v>
      </c>
      <c r="K64" s="516">
        <v>0</v>
      </c>
      <c r="L64" s="517">
        <v>2</v>
      </c>
      <c r="M64" s="518"/>
      <c r="N64" s="519"/>
      <c r="O64" s="519"/>
      <c r="P64" s="519"/>
      <c r="Q64" s="519"/>
      <c r="R64" s="520" t="s">
        <v>424</v>
      </c>
      <c r="S64" s="521">
        <f t="shared" si="28"/>
        <v>82</v>
      </c>
      <c r="T64" s="521">
        <f t="shared" si="29"/>
        <v>90</v>
      </c>
      <c r="U64" s="521">
        <f t="shared" si="30"/>
        <v>0</v>
      </c>
      <c r="V64" s="521">
        <f t="shared" si="31"/>
        <v>0</v>
      </c>
      <c r="W64" s="521">
        <f t="shared" si="32"/>
        <v>2</v>
      </c>
      <c r="X64" s="510"/>
    </row>
    <row r="65" spans="1:24" x14ac:dyDescent="0.2">
      <c r="A65" s="511" t="s">
        <v>378</v>
      </c>
      <c r="B65" s="512" t="s">
        <v>1454</v>
      </c>
      <c r="C65" s="512" t="s">
        <v>151</v>
      </c>
      <c r="D65" s="552" t="s">
        <v>1495</v>
      </c>
      <c r="E65" s="512" t="s">
        <v>153</v>
      </c>
      <c r="F65" s="513" t="s">
        <v>465</v>
      </c>
      <c r="G65" s="568"/>
      <c r="H65" s="515">
        <v>140</v>
      </c>
      <c r="I65" s="529">
        <v>140</v>
      </c>
      <c r="J65" s="516">
        <v>0</v>
      </c>
      <c r="K65" s="529">
        <v>0</v>
      </c>
      <c r="L65" s="517">
        <v>0</v>
      </c>
      <c r="M65" s="518"/>
      <c r="N65" s="519"/>
      <c r="O65" s="519"/>
      <c r="P65" s="519"/>
      <c r="Q65" s="519"/>
      <c r="R65" s="520" t="s">
        <v>1496</v>
      </c>
      <c r="S65" s="521">
        <f t="shared" si="28"/>
        <v>140</v>
      </c>
      <c r="T65" s="521">
        <f t="shared" si="29"/>
        <v>140</v>
      </c>
      <c r="U65" s="521">
        <f t="shared" si="30"/>
        <v>0</v>
      </c>
      <c r="V65" s="521">
        <f t="shared" si="31"/>
        <v>0</v>
      </c>
      <c r="W65" s="521">
        <f t="shared" si="32"/>
        <v>0</v>
      </c>
      <c r="X65" s="510"/>
    </row>
    <row r="66" spans="1:24" x14ac:dyDescent="0.2">
      <c r="A66" s="524" t="s">
        <v>378</v>
      </c>
      <c r="B66" s="525" t="s">
        <v>1454</v>
      </c>
      <c r="C66" s="525" t="s">
        <v>151</v>
      </c>
      <c r="D66" s="551" t="s">
        <v>1497</v>
      </c>
      <c r="E66" s="525"/>
      <c r="F66" s="526"/>
      <c r="G66" s="550"/>
      <c r="H66" s="515"/>
      <c r="I66" s="529">
        <v>0</v>
      </c>
      <c r="J66" s="516">
        <v>0</v>
      </c>
      <c r="K66" s="529">
        <v>10</v>
      </c>
      <c r="L66" s="517">
        <v>0</v>
      </c>
      <c r="M66" s="518"/>
      <c r="N66" s="519"/>
      <c r="O66" s="519"/>
      <c r="P66" s="519"/>
      <c r="Q66" s="519"/>
      <c r="R66" s="520" t="s">
        <v>1296</v>
      </c>
      <c r="S66" s="521">
        <f t="shared" si="28"/>
        <v>0</v>
      </c>
      <c r="T66" s="521">
        <f t="shared" si="29"/>
        <v>0</v>
      </c>
      <c r="U66" s="521">
        <f t="shared" si="30"/>
        <v>0</v>
      </c>
      <c r="V66" s="521">
        <f t="shared" si="31"/>
        <v>10</v>
      </c>
      <c r="W66" s="521">
        <f t="shared" si="32"/>
        <v>0</v>
      </c>
      <c r="X66" s="510"/>
    </row>
    <row r="67" spans="1:24" x14ac:dyDescent="0.2">
      <c r="A67" s="511" t="s">
        <v>378</v>
      </c>
      <c r="B67" s="512" t="s">
        <v>424</v>
      </c>
      <c r="C67" s="512" t="s">
        <v>151</v>
      </c>
      <c r="D67" s="569" t="s">
        <v>152</v>
      </c>
      <c r="E67" s="555" t="s">
        <v>150</v>
      </c>
      <c r="F67" s="513" t="s">
        <v>465</v>
      </c>
      <c r="G67" s="564"/>
      <c r="H67" s="528">
        <v>5</v>
      </c>
      <c r="I67" s="529">
        <v>23</v>
      </c>
      <c r="J67" s="529">
        <v>36</v>
      </c>
      <c r="K67" s="516">
        <v>0</v>
      </c>
      <c r="L67" s="517">
        <v>0</v>
      </c>
      <c r="M67" s="518"/>
      <c r="N67" s="519"/>
      <c r="O67" s="519"/>
      <c r="P67" s="519"/>
      <c r="Q67" s="519"/>
      <c r="R67" s="520" t="s">
        <v>1498</v>
      </c>
      <c r="S67" s="521">
        <f t="shared" si="28"/>
        <v>5</v>
      </c>
      <c r="T67" s="521">
        <f t="shared" si="29"/>
        <v>23</v>
      </c>
      <c r="U67" s="521">
        <f t="shared" si="30"/>
        <v>36</v>
      </c>
      <c r="V67" s="521">
        <f t="shared" si="31"/>
        <v>0</v>
      </c>
      <c r="W67" s="521">
        <f t="shared" si="32"/>
        <v>0</v>
      </c>
      <c r="X67" s="510"/>
    </row>
    <row r="68" spans="1:24" x14ac:dyDescent="0.2">
      <c r="A68" s="524" t="s">
        <v>378</v>
      </c>
      <c r="B68" s="525" t="s">
        <v>1454</v>
      </c>
      <c r="C68" s="525" t="s">
        <v>151</v>
      </c>
      <c r="D68" s="551" t="s">
        <v>1499</v>
      </c>
      <c r="E68" s="525" t="s">
        <v>197</v>
      </c>
      <c r="F68" s="526" t="s">
        <v>467</v>
      </c>
      <c r="G68" s="550"/>
      <c r="H68" s="515">
        <v>260</v>
      </c>
      <c r="I68" s="529">
        <v>260</v>
      </c>
      <c r="J68" s="529">
        <v>0</v>
      </c>
      <c r="K68" s="529">
        <v>0</v>
      </c>
      <c r="L68" s="517">
        <v>0</v>
      </c>
      <c r="M68" s="518"/>
      <c r="N68" s="519"/>
      <c r="O68" s="519"/>
      <c r="P68" s="519"/>
      <c r="Q68" s="519"/>
      <c r="R68" s="520" t="s">
        <v>1500</v>
      </c>
      <c r="S68" s="521">
        <f t="shared" si="28"/>
        <v>260</v>
      </c>
      <c r="T68" s="521">
        <f t="shared" si="29"/>
        <v>260</v>
      </c>
      <c r="U68" s="521">
        <f t="shared" si="30"/>
        <v>0</v>
      </c>
      <c r="V68" s="521">
        <f t="shared" si="31"/>
        <v>0</v>
      </c>
      <c r="W68" s="521">
        <f t="shared" si="32"/>
        <v>0</v>
      </c>
      <c r="X68" s="510"/>
    </row>
    <row r="69" spans="1:24" x14ac:dyDescent="0.2">
      <c r="A69" s="511" t="s">
        <v>378</v>
      </c>
      <c r="B69" s="512" t="s">
        <v>424</v>
      </c>
      <c r="C69" s="512" t="s">
        <v>151</v>
      </c>
      <c r="D69" s="569" t="s">
        <v>1501</v>
      </c>
      <c r="E69" s="512" t="s">
        <v>947</v>
      </c>
      <c r="F69" s="513" t="s">
        <v>465</v>
      </c>
      <c r="G69" s="564"/>
      <c r="H69" s="515">
        <v>61</v>
      </c>
      <c r="I69" s="529">
        <v>61</v>
      </c>
      <c r="J69" s="529">
        <v>0</v>
      </c>
      <c r="K69" s="516">
        <v>0</v>
      </c>
      <c r="L69" s="517">
        <v>0</v>
      </c>
      <c r="M69" s="518"/>
      <c r="N69" s="519"/>
      <c r="O69" s="519"/>
      <c r="P69" s="519"/>
      <c r="Q69" s="519"/>
      <c r="R69" s="520" t="s">
        <v>424</v>
      </c>
      <c r="S69" s="521">
        <f t="shared" si="28"/>
        <v>61</v>
      </c>
      <c r="T69" s="521">
        <f t="shared" si="29"/>
        <v>61</v>
      </c>
      <c r="U69" s="521">
        <f t="shared" si="30"/>
        <v>0</v>
      </c>
      <c r="V69" s="521">
        <f t="shared" si="31"/>
        <v>0</v>
      </c>
      <c r="W69" s="521">
        <f t="shared" si="32"/>
        <v>0</v>
      </c>
      <c r="X69" s="510"/>
    </row>
    <row r="70" spans="1:24" ht="14.45" customHeight="1" x14ac:dyDescent="0.2">
      <c r="A70" s="537" t="s">
        <v>3</v>
      </c>
      <c r="B70" s="538"/>
      <c r="C70" s="538"/>
      <c r="D70" s="539"/>
      <c r="E70" s="540"/>
      <c r="F70" s="541"/>
      <c r="G70" s="542"/>
      <c r="H70" s="543">
        <f>SUM(H61:H69)</f>
        <v>589</v>
      </c>
      <c r="I70" s="543">
        <f t="shared" ref="I70:L70" si="33">SUM(I61:I69)</f>
        <v>615</v>
      </c>
      <c r="J70" s="543">
        <f t="shared" si="33"/>
        <v>36</v>
      </c>
      <c r="K70" s="543">
        <f t="shared" si="33"/>
        <v>30</v>
      </c>
      <c r="L70" s="543">
        <f t="shared" si="33"/>
        <v>2</v>
      </c>
      <c r="M70" s="543">
        <f t="shared" ref="M70:Q70" si="34">SUM(M61:M69)</f>
        <v>0</v>
      </c>
      <c r="N70" s="543">
        <f t="shared" si="34"/>
        <v>0</v>
      </c>
      <c r="O70" s="543">
        <f t="shared" si="34"/>
        <v>0</v>
      </c>
      <c r="P70" s="543">
        <f t="shared" si="34"/>
        <v>20</v>
      </c>
      <c r="Q70" s="543">
        <f t="shared" si="34"/>
        <v>0</v>
      </c>
      <c r="R70" s="570"/>
      <c r="S70" s="543">
        <f>SUMIF($S61:$S$69,"&gt;0")</f>
        <v>589</v>
      </c>
      <c r="T70" s="540">
        <f>SUMIF($T61:$T$69,"&gt;0")</f>
        <v>615</v>
      </c>
      <c r="U70" s="540">
        <f>SUMIF($U61:$U$69,"&gt;0")</f>
        <v>36</v>
      </c>
      <c r="V70" s="540">
        <f>SUMIF($V61:$V$69,"&gt;0")</f>
        <v>10</v>
      </c>
      <c r="W70" s="544">
        <f>SUMIF($W61:$W$69,"&gt;0")</f>
        <v>2</v>
      </c>
      <c r="X70" s="510"/>
    </row>
    <row r="71" spans="1:24" x14ac:dyDescent="0.2">
      <c r="A71" s="524" t="s">
        <v>1477</v>
      </c>
      <c r="B71" s="525" t="s">
        <v>424</v>
      </c>
      <c r="C71" s="525" t="s">
        <v>166</v>
      </c>
      <c r="D71" s="525" t="s">
        <v>167</v>
      </c>
      <c r="E71" s="525" t="s">
        <v>279</v>
      </c>
      <c r="F71" s="526" t="s">
        <v>465</v>
      </c>
      <c r="G71" s="550"/>
      <c r="H71" s="528">
        <v>0</v>
      </c>
      <c r="I71" s="529">
        <v>0</v>
      </c>
      <c r="J71" s="529">
        <v>30</v>
      </c>
      <c r="K71" s="516"/>
      <c r="L71" s="517">
        <v>0</v>
      </c>
      <c r="M71" s="518"/>
      <c r="N71" s="519"/>
      <c r="O71" s="519">
        <v>30</v>
      </c>
      <c r="P71" s="519"/>
      <c r="Q71" s="519"/>
      <c r="R71" s="520" t="s">
        <v>1502</v>
      </c>
      <c r="S71" s="521">
        <f>H71-M71</f>
        <v>0</v>
      </c>
      <c r="T71" s="522">
        <f>I71-N71</f>
        <v>0</v>
      </c>
      <c r="U71" s="522">
        <f>J71-O71</f>
        <v>0</v>
      </c>
      <c r="V71" s="522">
        <f>K71-P71</f>
        <v>0</v>
      </c>
      <c r="W71" s="523">
        <f>L71-Q71</f>
        <v>0</v>
      </c>
      <c r="X71" s="510"/>
    </row>
    <row r="72" spans="1:24" x14ac:dyDescent="0.2">
      <c r="A72" s="511" t="s">
        <v>1477</v>
      </c>
      <c r="B72" s="512" t="s">
        <v>1503</v>
      </c>
      <c r="C72" s="512" t="s">
        <v>166</v>
      </c>
      <c r="D72" s="512" t="s">
        <v>1169</v>
      </c>
      <c r="E72" s="512"/>
      <c r="F72" s="513"/>
      <c r="G72" s="568"/>
      <c r="H72" s="528">
        <v>4</v>
      </c>
      <c r="I72" s="529">
        <v>0</v>
      </c>
      <c r="J72" s="529">
        <v>0</v>
      </c>
      <c r="K72" s="516">
        <v>0</v>
      </c>
      <c r="L72" s="517">
        <v>0</v>
      </c>
      <c r="M72" s="518"/>
      <c r="N72" s="519"/>
      <c r="O72" s="519"/>
      <c r="P72" s="519"/>
      <c r="Q72" s="519"/>
      <c r="R72" s="520"/>
      <c r="S72" s="521"/>
      <c r="T72" s="522"/>
      <c r="U72" s="522"/>
      <c r="V72" s="522"/>
      <c r="W72" s="523"/>
      <c r="X72" s="510"/>
    </row>
    <row r="73" spans="1:24" x14ac:dyDescent="0.2">
      <c r="A73" s="524" t="s">
        <v>1477</v>
      </c>
      <c r="B73" s="525" t="s">
        <v>1483</v>
      </c>
      <c r="C73" s="525" t="s">
        <v>166</v>
      </c>
      <c r="D73" s="525" t="s">
        <v>1504</v>
      </c>
      <c r="E73" s="525"/>
      <c r="F73" s="526"/>
      <c r="G73" s="550"/>
      <c r="H73" s="528"/>
      <c r="I73" s="529"/>
      <c r="J73" s="529">
        <v>0</v>
      </c>
      <c r="K73" s="516">
        <v>20</v>
      </c>
      <c r="L73" s="517">
        <v>0</v>
      </c>
      <c r="M73" s="518"/>
      <c r="N73" s="519"/>
      <c r="O73" s="519"/>
      <c r="P73" s="519">
        <v>20</v>
      </c>
      <c r="Q73" s="519"/>
      <c r="R73" s="520" t="s">
        <v>1066</v>
      </c>
      <c r="S73" s="521"/>
      <c r="T73" s="522"/>
      <c r="U73" s="522"/>
      <c r="V73" s="522"/>
      <c r="W73" s="523"/>
      <c r="X73" s="510"/>
    </row>
    <row r="74" spans="1:24" ht="14.45" customHeight="1" x14ac:dyDescent="0.2">
      <c r="A74" s="537" t="s">
        <v>3</v>
      </c>
      <c r="B74" s="538"/>
      <c r="C74" s="538"/>
      <c r="D74" s="539"/>
      <c r="E74" s="540"/>
      <c r="F74" s="541"/>
      <c r="G74" s="542"/>
      <c r="H74" s="543">
        <f>SUM(H71:H73)</f>
        <v>4</v>
      </c>
      <c r="I74" s="543">
        <f t="shared" ref="I74:L74" si="35">SUM(I71:I73)</f>
        <v>0</v>
      </c>
      <c r="J74" s="543">
        <f t="shared" si="35"/>
        <v>30</v>
      </c>
      <c r="K74" s="543">
        <f t="shared" si="35"/>
        <v>20</v>
      </c>
      <c r="L74" s="543">
        <f t="shared" si="35"/>
        <v>0</v>
      </c>
      <c r="M74" s="543">
        <f t="shared" ref="M74:Q74" si="36">SUM(M71:M73)</f>
        <v>0</v>
      </c>
      <c r="N74" s="543">
        <f t="shared" si="36"/>
        <v>0</v>
      </c>
      <c r="O74" s="543">
        <f t="shared" si="36"/>
        <v>30</v>
      </c>
      <c r="P74" s="543">
        <f t="shared" si="36"/>
        <v>20</v>
      </c>
      <c r="Q74" s="543">
        <f t="shared" si="36"/>
        <v>0</v>
      </c>
      <c r="R74" s="545"/>
      <c r="S74" s="543">
        <f>SUMIF($S71:$S$73,"&gt;0")</f>
        <v>0</v>
      </c>
      <c r="T74" s="540">
        <f>SUMIF($T71:$T$73,"&gt;0")</f>
        <v>0</v>
      </c>
      <c r="U74" s="540">
        <f>SUMIF($U71:$U$73,"&gt;0")</f>
        <v>0</v>
      </c>
      <c r="V74" s="540">
        <f>SUMIF($V71:$V$73,"&gt;0")</f>
        <v>0</v>
      </c>
      <c r="W74" s="544">
        <f>SUMIF($W71:$W$73,"&gt;0")</f>
        <v>0</v>
      </c>
      <c r="X74" s="510"/>
    </row>
    <row r="75" spans="1:24" x14ac:dyDescent="0.2">
      <c r="A75" s="524" t="s">
        <v>378</v>
      </c>
      <c r="B75" s="525" t="s">
        <v>424</v>
      </c>
      <c r="C75" s="525" t="s">
        <v>173</v>
      </c>
      <c r="D75" s="551" t="s">
        <v>1505</v>
      </c>
      <c r="E75" s="525" t="s">
        <v>172</v>
      </c>
      <c r="F75" s="526" t="s">
        <v>465</v>
      </c>
      <c r="G75" s="550" t="s">
        <v>1459</v>
      </c>
      <c r="H75" s="528">
        <v>13</v>
      </c>
      <c r="I75" s="516">
        <v>13</v>
      </c>
      <c r="J75" s="516">
        <v>0</v>
      </c>
      <c r="K75" s="516">
        <v>13</v>
      </c>
      <c r="L75" s="517">
        <v>0</v>
      </c>
      <c r="M75" s="518"/>
      <c r="N75" s="519"/>
      <c r="O75" s="519"/>
      <c r="P75" s="519"/>
      <c r="Q75" s="519"/>
      <c r="R75" s="520"/>
      <c r="S75" s="521">
        <f t="shared" ref="S75:S79" si="37">H75-M75</f>
        <v>13</v>
      </c>
      <c r="T75" s="521">
        <f t="shared" ref="T75:T79" si="38">I75-N75</f>
        <v>13</v>
      </c>
      <c r="U75" s="521">
        <f t="shared" ref="U75:U79" si="39">J75-O75</f>
        <v>0</v>
      </c>
      <c r="V75" s="521">
        <f t="shared" ref="V75:V79" si="40">K75-P75</f>
        <v>13</v>
      </c>
      <c r="W75" s="521">
        <f t="shared" ref="W75:W79" si="41">L75-Q75</f>
        <v>0</v>
      </c>
      <c r="X75" s="510" t="s">
        <v>1506</v>
      </c>
    </row>
    <row r="76" spans="1:24" x14ac:dyDescent="0.2">
      <c r="A76" s="511" t="s">
        <v>378</v>
      </c>
      <c r="B76" s="512" t="s">
        <v>424</v>
      </c>
      <c r="C76" s="512" t="s">
        <v>173</v>
      </c>
      <c r="D76" s="552" t="s">
        <v>176</v>
      </c>
      <c r="E76" s="512" t="s">
        <v>175</v>
      </c>
      <c r="F76" s="513" t="s">
        <v>465</v>
      </c>
      <c r="G76" s="530" t="s">
        <v>1459</v>
      </c>
      <c r="H76" s="528">
        <v>5</v>
      </c>
      <c r="I76" s="516">
        <v>5</v>
      </c>
      <c r="J76" s="516">
        <v>0</v>
      </c>
      <c r="K76" s="516">
        <v>5</v>
      </c>
      <c r="L76" s="517">
        <v>0</v>
      </c>
      <c r="M76" s="518"/>
      <c r="N76" s="519"/>
      <c r="O76" s="519"/>
      <c r="P76" s="519"/>
      <c r="Q76" s="519"/>
      <c r="R76" s="520"/>
      <c r="S76" s="521">
        <f t="shared" si="37"/>
        <v>5</v>
      </c>
      <c r="T76" s="521">
        <f t="shared" si="38"/>
        <v>5</v>
      </c>
      <c r="U76" s="521">
        <f t="shared" si="39"/>
        <v>0</v>
      </c>
      <c r="V76" s="521">
        <f t="shared" si="40"/>
        <v>5</v>
      </c>
      <c r="W76" s="521">
        <f t="shared" si="41"/>
        <v>0</v>
      </c>
      <c r="X76" s="510" t="s">
        <v>1506</v>
      </c>
    </row>
    <row r="77" spans="1:24" x14ac:dyDescent="0.2">
      <c r="A77" s="524" t="s">
        <v>378</v>
      </c>
      <c r="B77" s="525" t="s">
        <v>1462</v>
      </c>
      <c r="C77" s="525" t="s">
        <v>173</v>
      </c>
      <c r="D77" s="551" t="s">
        <v>1507</v>
      </c>
      <c r="E77" s="525"/>
      <c r="F77" s="526"/>
      <c r="G77" s="550" t="s">
        <v>1459</v>
      </c>
      <c r="H77" s="528">
        <v>21</v>
      </c>
      <c r="I77" s="516">
        <v>30</v>
      </c>
      <c r="J77" s="516">
        <v>0</v>
      </c>
      <c r="K77" s="516">
        <v>0</v>
      </c>
      <c r="L77" s="517">
        <v>0</v>
      </c>
      <c r="M77" s="518"/>
      <c r="N77" s="519"/>
      <c r="O77" s="519"/>
      <c r="P77" s="519"/>
      <c r="Q77" s="519"/>
      <c r="R77" s="520"/>
      <c r="S77" s="521">
        <f t="shared" si="37"/>
        <v>21</v>
      </c>
      <c r="T77" s="521">
        <f t="shared" si="38"/>
        <v>30</v>
      </c>
      <c r="U77" s="521">
        <f t="shared" si="39"/>
        <v>0</v>
      </c>
      <c r="V77" s="521">
        <f t="shared" si="40"/>
        <v>0</v>
      </c>
      <c r="W77" s="521">
        <f t="shared" si="41"/>
        <v>0</v>
      </c>
      <c r="X77" s="510"/>
    </row>
    <row r="78" spans="1:24" x14ac:dyDescent="0.2">
      <c r="A78" s="511" t="s">
        <v>378</v>
      </c>
      <c r="B78" s="512" t="s">
        <v>424</v>
      </c>
      <c r="C78" s="512" t="s">
        <v>173</v>
      </c>
      <c r="D78" s="552" t="s">
        <v>1508</v>
      </c>
      <c r="E78" s="512"/>
      <c r="F78" s="513"/>
      <c r="G78" s="530"/>
      <c r="H78" s="528">
        <v>52</v>
      </c>
      <c r="I78" s="516">
        <v>0</v>
      </c>
      <c r="J78" s="516">
        <v>0</v>
      </c>
      <c r="K78" s="516">
        <v>20</v>
      </c>
      <c r="L78" s="517">
        <v>0</v>
      </c>
      <c r="M78" s="518"/>
      <c r="N78" s="519"/>
      <c r="O78" s="519"/>
      <c r="P78" s="519"/>
      <c r="Q78" s="519"/>
      <c r="R78" s="520"/>
      <c r="S78" s="521">
        <f t="shared" si="37"/>
        <v>52</v>
      </c>
      <c r="T78" s="521">
        <f t="shared" si="38"/>
        <v>0</v>
      </c>
      <c r="U78" s="521">
        <f t="shared" si="39"/>
        <v>0</v>
      </c>
      <c r="V78" s="521">
        <f t="shared" si="40"/>
        <v>20</v>
      </c>
      <c r="W78" s="521">
        <f t="shared" si="41"/>
        <v>0</v>
      </c>
      <c r="X78" s="510"/>
    </row>
    <row r="79" spans="1:24" x14ac:dyDescent="0.2">
      <c r="A79" s="571" t="s">
        <v>378</v>
      </c>
      <c r="B79" s="551" t="s">
        <v>424</v>
      </c>
      <c r="C79" s="551" t="s">
        <v>173</v>
      </c>
      <c r="D79" s="551" t="s">
        <v>1509</v>
      </c>
      <c r="E79" s="525" t="s">
        <v>177</v>
      </c>
      <c r="F79" s="526" t="s">
        <v>465</v>
      </c>
      <c r="G79" s="550" t="s">
        <v>1459</v>
      </c>
      <c r="H79" s="528"/>
      <c r="I79" s="516"/>
      <c r="J79" s="516">
        <v>0</v>
      </c>
      <c r="K79" s="516">
        <v>15</v>
      </c>
      <c r="L79" s="517">
        <v>0</v>
      </c>
      <c r="M79" s="518"/>
      <c r="N79" s="519"/>
      <c r="O79" s="519"/>
      <c r="P79" s="519"/>
      <c r="Q79" s="519"/>
      <c r="R79" s="520"/>
      <c r="S79" s="521">
        <f t="shared" si="37"/>
        <v>0</v>
      </c>
      <c r="T79" s="521">
        <f t="shared" si="38"/>
        <v>0</v>
      </c>
      <c r="U79" s="521">
        <f t="shared" si="39"/>
        <v>0</v>
      </c>
      <c r="V79" s="521">
        <f t="shared" si="40"/>
        <v>15</v>
      </c>
      <c r="W79" s="521">
        <f t="shared" si="41"/>
        <v>0</v>
      </c>
      <c r="X79" s="510" t="s">
        <v>1506</v>
      </c>
    </row>
    <row r="80" spans="1:24" ht="14.45" customHeight="1" x14ac:dyDescent="0.2">
      <c r="A80" s="537" t="s">
        <v>3</v>
      </c>
      <c r="B80" s="538"/>
      <c r="C80" s="538"/>
      <c r="D80" s="539"/>
      <c r="E80" s="540"/>
      <c r="F80" s="541"/>
      <c r="G80" s="542"/>
      <c r="H80" s="543">
        <f>SUM(H75:H79)</f>
        <v>91</v>
      </c>
      <c r="I80" s="543">
        <f t="shared" ref="I80:L80" si="42">SUM(I75:I79)</f>
        <v>48</v>
      </c>
      <c r="J80" s="543">
        <f t="shared" si="42"/>
        <v>0</v>
      </c>
      <c r="K80" s="543">
        <f t="shared" si="42"/>
        <v>53</v>
      </c>
      <c r="L80" s="543">
        <f t="shared" si="42"/>
        <v>0</v>
      </c>
      <c r="M80" s="543">
        <f t="shared" ref="M80:Q80" si="43">SUM(M75:M79)</f>
        <v>0</v>
      </c>
      <c r="N80" s="543">
        <f t="shared" si="43"/>
        <v>0</v>
      </c>
      <c r="O80" s="543">
        <f t="shared" si="43"/>
        <v>0</v>
      </c>
      <c r="P80" s="543">
        <f t="shared" si="43"/>
        <v>0</v>
      </c>
      <c r="Q80" s="543">
        <f t="shared" si="43"/>
        <v>0</v>
      </c>
      <c r="R80" s="545"/>
      <c r="S80" s="543">
        <f>SUMIF($S75:$S$79,"&gt;0")</f>
        <v>91</v>
      </c>
      <c r="T80" s="540">
        <f>SUMIF($T75:$T$79,"&gt;0")</f>
        <v>48</v>
      </c>
      <c r="U80" s="540">
        <f>SUMIF($U75:$U$79,"&gt;0")</f>
        <v>0</v>
      </c>
      <c r="V80" s="540">
        <f>SUMIF($V75:$V$79,"&gt;0")</f>
        <v>53</v>
      </c>
      <c r="W80" s="544">
        <f>SUMIF($W75:$W$79,"&gt;0")</f>
        <v>0</v>
      </c>
      <c r="X80" s="510"/>
    </row>
    <row r="81" spans="1:24" x14ac:dyDescent="0.2">
      <c r="A81" s="524" t="s">
        <v>378</v>
      </c>
      <c r="B81" s="525" t="s">
        <v>424</v>
      </c>
      <c r="C81" s="525" t="s">
        <v>180</v>
      </c>
      <c r="D81" s="525" t="s">
        <v>1510</v>
      </c>
      <c r="E81" s="525" t="s">
        <v>285</v>
      </c>
      <c r="F81" s="526" t="s">
        <v>465</v>
      </c>
      <c r="G81" s="550"/>
      <c r="H81" s="572">
        <v>0</v>
      </c>
      <c r="I81" s="529">
        <v>0</v>
      </c>
      <c r="J81" s="573">
        <v>0</v>
      </c>
      <c r="K81" s="573">
        <v>20</v>
      </c>
      <c r="L81" s="574">
        <v>0</v>
      </c>
      <c r="M81" s="518"/>
      <c r="N81" s="519"/>
      <c r="O81" s="519"/>
      <c r="P81" s="519"/>
      <c r="Q81" s="519"/>
      <c r="R81" s="520"/>
      <c r="S81" s="521">
        <f t="shared" ref="S81:S82" si="44">H81-M81</f>
        <v>0</v>
      </c>
      <c r="T81" s="521">
        <f t="shared" ref="T81:T82" si="45">I81-N81</f>
        <v>0</v>
      </c>
      <c r="U81" s="521">
        <f t="shared" ref="U81:U82" si="46">J81-O81</f>
        <v>0</v>
      </c>
      <c r="V81" s="521">
        <f t="shared" ref="V81:V82" si="47">K81-P81</f>
        <v>20</v>
      </c>
      <c r="W81" s="521">
        <f t="shared" ref="W81:W82" si="48">L81-Q81</f>
        <v>0</v>
      </c>
      <c r="X81" s="510" t="s">
        <v>1506</v>
      </c>
    </row>
    <row r="82" spans="1:24" x14ac:dyDescent="0.2">
      <c r="A82" s="511" t="s">
        <v>378</v>
      </c>
      <c r="B82" s="512" t="s">
        <v>1462</v>
      </c>
      <c r="C82" s="512" t="s">
        <v>180</v>
      </c>
      <c r="D82" s="512" t="s">
        <v>1511</v>
      </c>
      <c r="E82" s="512" t="s">
        <v>179</v>
      </c>
      <c r="F82" s="513" t="s">
        <v>465</v>
      </c>
      <c r="G82" s="568"/>
      <c r="H82" s="572">
        <v>5</v>
      </c>
      <c r="I82" s="573">
        <v>5</v>
      </c>
      <c r="J82" s="573">
        <v>11</v>
      </c>
      <c r="K82" s="573"/>
      <c r="L82" s="574">
        <v>0</v>
      </c>
      <c r="M82" s="518"/>
      <c r="N82" s="519"/>
      <c r="O82" s="519"/>
      <c r="P82" s="519"/>
      <c r="Q82" s="519"/>
      <c r="R82" s="520"/>
      <c r="S82" s="521">
        <f t="shared" si="44"/>
        <v>5</v>
      </c>
      <c r="T82" s="521">
        <f t="shared" si="45"/>
        <v>5</v>
      </c>
      <c r="U82" s="521">
        <f t="shared" si="46"/>
        <v>11</v>
      </c>
      <c r="V82" s="521">
        <f t="shared" si="47"/>
        <v>0</v>
      </c>
      <c r="W82" s="521">
        <f t="shared" si="48"/>
        <v>0</v>
      </c>
      <c r="X82" s="510"/>
    </row>
    <row r="83" spans="1:24" ht="14.45" customHeight="1" x14ac:dyDescent="0.2">
      <c r="A83" s="537" t="s">
        <v>3</v>
      </c>
      <c r="B83" s="538"/>
      <c r="C83" s="538"/>
      <c r="D83" s="539"/>
      <c r="E83" s="540"/>
      <c r="F83" s="541"/>
      <c r="G83" s="542"/>
      <c r="H83" s="543">
        <f>SUM(H81:H82)</f>
        <v>5</v>
      </c>
      <c r="I83" s="543">
        <f t="shared" ref="I83:L83" si="49">SUM(I81:I82)</f>
        <v>5</v>
      </c>
      <c r="J83" s="543">
        <f t="shared" si="49"/>
        <v>11</v>
      </c>
      <c r="K83" s="543">
        <f t="shared" si="49"/>
        <v>20</v>
      </c>
      <c r="L83" s="543">
        <f t="shared" si="49"/>
        <v>0</v>
      </c>
      <c r="M83" s="543">
        <f t="shared" ref="M83:Q83" si="50">SUM(M81:M82)</f>
        <v>0</v>
      </c>
      <c r="N83" s="543">
        <f t="shared" si="50"/>
        <v>0</v>
      </c>
      <c r="O83" s="543">
        <f t="shared" si="50"/>
        <v>0</v>
      </c>
      <c r="P83" s="543">
        <f t="shared" si="50"/>
        <v>0</v>
      </c>
      <c r="Q83" s="543">
        <f t="shared" si="50"/>
        <v>0</v>
      </c>
      <c r="R83" s="545"/>
      <c r="S83" s="543">
        <f>SUMIF($S81:$S$82,"&gt;0")</f>
        <v>5</v>
      </c>
      <c r="T83" s="540">
        <f>SUMIF($T81:$T$82,"&gt;0")</f>
        <v>5</v>
      </c>
      <c r="U83" s="540">
        <f>SUMIF($U81:$U$82,"&gt;0")</f>
        <v>11</v>
      </c>
      <c r="V83" s="540">
        <f>SUMIF($V81:$V$82,"&gt;0")</f>
        <v>20</v>
      </c>
      <c r="W83" s="544">
        <f>SUMIF($W81:$W$82,"&gt;0")</f>
        <v>0</v>
      </c>
      <c r="X83" s="510"/>
    </row>
    <row r="84" spans="1:24" x14ac:dyDescent="0.2">
      <c r="A84" s="524" t="s">
        <v>378</v>
      </c>
      <c r="B84" s="525" t="s">
        <v>1462</v>
      </c>
      <c r="C84" s="525" t="s">
        <v>185</v>
      </c>
      <c r="D84" s="525" t="s">
        <v>524</v>
      </c>
      <c r="E84" s="525" t="s">
        <v>191</v>
      </c>
      <c r="F84" s="526" t="s">
        <v>467</v>
      </c>
      <c r="G84" s="550"/>
      <c r="H84" s="515">
        <v>27</v>
      </c>
      <c r="I84" s="529">
        <v>35</v>
      </c>
      <c r="J84" s="516">
        <v>0</v>
      </c>
      <c r="K84" s="516">
        <v>0</v>
      </c>
      <c r="L84" s="517">
        <v>1</v>
      </c>
      <c r="M84" s="518"/>
      <c r="N84" s="519"/>
      <c r="O84" s="519"/>
      <c r="P84" s="519"/>
      <c r="Q84" s="519">
        <v>1</v>
      </c>
      <c r="R84" s="520" t="s">
        <v>1462</v>
      </c>
      <c r="S84" s="521">
        <f t="shared" ref="S84:S96" si="51">H84-M84</f>
        <v>27</v>
      </c>
      <c r="T84" s="521">
        <f t="shared" ref="T84:T96" si="52">I84-N84</f>
        <v>35</v>
      </c>
      <c r="U84" s="521">
        <f t="shared" ref="U84:U96" si="53">J84-O84</f>
        <v>0</v>
      </c>
      <c r="V84" s="521">
        <f t="shared" ref="V84:V96" si="54">K84-P84</f>
        <v>0</v>
      </c>
      <c r="W84" s="521">
        <f t="shared" ref="W84:W96" si="55">L84-Q84</f>
        <v>0</v>
      </c>
      <c r="X84" s="510"/>
    </row>
    <row r="85" spans="1:24" x14ac:dyDescent="0.2">
      <c r="A85" s="511" t="s">
        <v>378</v>
      </c>
      <c r="B85" s="512" t="s">
        <v>1462</v>
      </c>
      <c r="C85" s="512" t="s">
        <v>185</v>
      </c>
      <c r="D85" s="512" t="s">
        <v>677</v>
      </c>
      <c r="E85" s="512" t="s">
        <v>193</v>
      </c>
      <c r="F85" s="513" t="s">
        <v>467</v>
      </c>
      <c r="G85" s="568" t="s">
        <v>1459</v>
      </c>
      <c r="H85" s="528">
        <v>42</v>
      </c>
      <c r="I85" s="516">
        <v>0</v>
      </c>
      <c r="J85" s="516">
        <v>0</v>
      </c>
      <c r="K85" s="516">
        <v>69</v>
      </c>
      <c r="L85" s="517">
        <v>0</v>
      </c>
      <c r="M85" s="518">
        <v>40</v>
      </c>
      <c r="N85" s="519"/>
      <c r="O85" s="519"/>
      <c r="P85" s="519">
        <v>45</v>
      </c>
      <c r="Q85" s="519"/>
      <c r="R85" s="520" t="s">
        <v>1749</v>
      </c>
      <c r="S85" s="521">
        <f t="shared" si="51"/>
        <v>2</v>
      </c>
      <c r="T85" s="521">
        <f t="shared" si="52"/>
        <v>0</v>
      </c>
      <c r="U85" s="521">
        <f t="shared" si="53"/>
        <v>0</v>
      </c>
      <c r="V85" s="521">
        <f t="shared" si="54"/>
        <v>24</v>
      </c>
      <c r="W85" s="521">
        <f t="shared" si="55"/>
        <v>0</v>
      </c>
      <c r="X85" s="510"/>
    </row>
    <row r="86" spans="1:24" x14ac:dyDescent="0.2">
      <c r="A86" s="524" t="s">
        <v>378</v>
      </c>
      <c r="B86" s="525" t="s">
        <v>1462</v>
      </c>
      <c r="C86" s="525" t="s">
        <v>185</v>
      </c>
      <c r="D86" s="525" t="s">
        <v>1512</v>
      </c>
      <c r="E86" s="525" t="s">
        <v>195</v>
      </c>
      <c r="F86" s="526" t="s">
        <v>467</v>
      </c>
      <c r="G86" s="550"/>
      <c r="H86" s="528">
        <v>5</v>
      </c>
      <c r="I86" s="516">
        <v>5</v>
      </c>
      <c r="J86" s="516">
        <v>0</v>
      </c>
      <c r="K86" s="516">
        <v>0</v>
      </c>
      <c r="L86" s="517">
        <v>0</v>
      </c>
      <c r="M86" s="518"/>
      <c r="N86" s="519"/>
      <c r="O86" s="519"/>
      <c r="P86" s="519"/>
      <c r="Q86" s="519"/>
      <c r="R86" s="520"/>
      <c r="S86" s="521">
        <f t="shared" si="51"/>
        <v>5</v>
      </c>
      <c r="T86" s="521">
        <f t="shared" si="52"/>
        <v>5</v>
      </c>
      <c r="U86" s="521">
        <f t="shared" si="53"/>
        <v>0</v>
      </c>
      <c r="V86" s="521">
        <f t="shared" si="54"/>
        <v>0</v>
      </c>
      <c r="W86" s="521">
        <f t="shared" si="55"/>
        <v>0</v>
      </c>
      <c r="X86" s="510"/>
    </row>
    <row r="87" spans="1:24" x14ac:dyDescent="0.2">
      <c r="A87" s="511" t="s">
        <v>378</v>
      </c>
      <c r="B87" s="512" t="s">
        <v>424</v>
      </c>
      <c r="C87" s="512" t="s">
        <v>185</v>
      </c>
      <c r="D87" s="512" t="s">
        <v>186</v>
      </c>
      <c r="E87" s="555" t="s">
        <v>184</v>
      </c>
      <c r="F87" s="513" t="s">
        <v>465</v>
      </c>
      <c r="G87" s="556"/>
      <c r="H87" s="515">
        <v>27</v>
      </c>
      <c r="I87" s="529">
        <v>27</v>
      </c>
      <c r="J87" s="516">
        <v>0</v>
      </c>
      <c r="K87" s="516">
        <v>0</v>
      </c>
      <c r="L87" s="517">
        <v>0</v>
      </c>
      <c r="M87" s="518"/>
      <c r="N87" s="519"/>
      <c r="O87" s="519"/>
      <c r="P87" s="519"/>
      <c r="Q87" s="519"/>
      <c r="R87" s="520"/>
      <c r="S87" s="521">
        <f t="shared" si="51"/>
        <v>27</v>
      </c>
      <c r="T87" s="521">
        <f t="shared" si="52"/>
        <v>27</v>
      </c>
      <c r="U87" s="521">
        <f t="shared" si="53"/>
        <v>0</v>
      </c>
      <c r="V87" s="521">
        <f t="shared" si="54"/>
        <v>0</v>
      </c>
      <c r="W87" s="521">
        <f t="shared" si="55"/>
        <v>0</v>
      </c>
      <c r="X87" s="510"/>
    </row>
    <row r="88" spans="1:24" x14ac:dyDescent="0.2">
      <c r="A88" s="524" t="s">
        <v>378</v>
      </c>
      <c r="B88" s="525" t="s">
        <v>1454</v>
      </c>
      <c r="C88" s="525" t="s">
        <v>185</v>
      </c>
      <c r="D88" s="525" t="s">
        <v>1513</v>
      </c>
      <c r="E88" s="525" t="s">
        <v>222</v>
      </c>
      <c r="F88" s="526" t="s">
        <v>465</v>
      </c>
      <c r="G88" s="550"/>
      <c r="H88" s="528">
        <v>60</v>
      </c>
      <c r="I88" s="516">
        <v>60</v>
      </c>
      <c r="J88" s="516">
        <v>0</v>
      </c>
      <c r="K88" s="516">
        <v>0</v>
      </c>
      <c r="L88" s="517">
        <v>0</v>
      </c>
      <c r="M88" s="518"/>
      <c r="N88" s="519"/>
      <c r="O88" s="519"/>
      <c r="P88" s="519"/>
      <c r="Q88" s="519"/>
      <c r="R88" s="520"/>
      <c r="S88" s="521">
        <f t="shared" si="51"/>
        <v>60</v>
      </c>
      <c r="T88" s="521">
        <f t="shared" si="52"/>
        <v>60</v>
      </c>
      <c r="U88" s="521">
        <f t="shared" si="53"/>
        <v>0</v>
      </c>
      <c r="V88" s="521">
        <f t="shared" si="54"/>
        <v>0</v>
      </c>
      <c r="W88" s="521">
        <f t="shared" si="55"/>
        <v>0</v>
      </c>
      <c r="X88" s="510"/>
    </row>
    <row r="89" spans="1:24" x14ac:dyDescent="0.2">
      <c r="A89" s="511" t="s">
        <v>378</v>
      </c>
      <c r="B89" s="512" t="s">
        <v>424</v>
      </c>
      <c r="C89" s="512" t="s">
        <v>185</v>
      </c>
      <c r="D89" s="555" t="s">
        <v>190</v>
      </c>
      <c r="E89" s="555" t="s">
        <v>189</v>
      </c>
      <c r="F89" s="513" t="s">
        <v>465</v>
      </c>
      <c r="G89" s="564"/>
      <c r="H89" s="515">
        <v>42</v>
      </c>
      <c r="I89" s="529">
        <v>42</v>
      </c>
      <c r="J89" s="516">
        <v>0</v>
      </c>
      <c r="K89" s="516"/>
      <c r="L89" s="536">
        <v>2</v>
      </c>
      <c r="M89" s="518"/>
      <c r="N89" s="519"/>
      <c r="O89" s="519"/>
      <c r="P89" s="519"/>
      <c r="Q89" s="519"/>
      <c r="R89" s="520"/>
      <c r="S89" s="521">
        <f t="shared" si="51"/>
        <v>42</v>
      </c>
      <c r="T89" s="521">
        <f t="shared" si="52"/>
        <v>42</v>
      </c>
      <c r="U89" s="521">
        <f t="shared" si="53"/>
        <v>0</v>
      </c>
      <c r="V89" s="521">
        <f t="shared" si="54"/>
        <v>0</v>
      </c>
      <c r="W89" s="521">
        <f t="shared" si="55"/>
        <v>2</v>
      </c>
      <c r="X89" s="510"/>
    </row>
    <row r="90" spans="1:24" x14ac:dyDescent="0.2">
      <c r="A90" s="524" t="s">
        <v>378</v>
      </c>
      <c r="B90" s="525" t="s">
        <v>424</v>
      </c>
      <c r="C90" s="525" t="s">
        <v>185</v>
      </c>
      <c r="D90" s="525" t="s">
        <v>1514</v>
      </c>
      <c r="E90" s="525" t="s">
        <v>228</v>
      </c>
      <c r="F90" s="526" t="s">
        <v>465</v>
      </c>
      <c r="G90" s="550" t="s">
        <v>1459</v>
      </c>
      <c r="H90" s="515">
        <v>4</v>
      </c>
      <c r="I90" s="529">
        <v>4</v>
      </c>
      <c r="J90" s="516">
        <v>0</v>
      </c>
      <c r="K90" s="516"/>
      <c r="L90" s="536">
        <v>0</v>
      </c>
      <c r="M90" s="518"/>
      <c r="N90" s="519"/>
      <c r="O90" s="519"/>
      <c r="P90" s="519"/>
      <c r="Q90" s="519"/>
      <c r="R90" s="520"/>
      <c r="S90" s="521">
        <f t="shared" si="51"/>
        <v>4</v>
      </c>
      <c r="T90" s="521">
        <f t="shared" si="52"/>
        <v>4</v>
      </c>
      <c r="U90" s="521">
        <f t="shared" si="53"/>
        <v>0</v>
      </c>
      <c r="V90" s="521">
        <f t="shared" si="54"/>
        <v>0</v>
      </c>
      <c r="W90" s="521">
        <f t="shared" si="55"/>
        <v>0</v>
      </c>
      <c r="X90" s="510" t="s">
        <v>1506</v>
      </c>
    </row>
    <row r="91" spans="1:24" x14ac:dyDescent="0.2">
      <c r="A91" s="511" t="s">
        <v>378</v>
      </c>
      <c r="B91" s="512" t="s">
        <v>1454</v>
      </c>
      <c r="C91" s="512" t="s">
        <v>185</v>
      </c>
      <c r="D91" s="512" t="s">
        <v>202</v>
      </c>
      <c r="E91" s="512" t="s">
        <v>201</v>
      </c>
      <c r="F91" s="513" t="s">
        <v>465</v>
      </c>
      <c r="G91" s="568"/>
      <c r="H91" s="528"/>
      <c r="I91" s="516"/>
      <c r="J91" s="516">
        <v>0</v>
      </c>
      <c r="K91" s="516">
        <v>10</v>
      </c>
      <c r="L91" s="517">
        <v>0</v>
      </c>
      <c r="M91" s="518"/>
      <c r="N91" s="519"/>
      <c r="O91" s="519"/>
      <c r="P91" s="519">
        <v>10</v>
      </c>
      <c r="Q91" s="519"/>
      <c r="R91" s="520" t="s">
        <v>1496</v>
      </c>
      <c r="S91" s="521">
        <f t="shared" si="51"/>
        <v>0</v>
      </c>
      <c r="T91" s="521">
        <f t="shared" si="52"/>
        <v>0</v>
      </c>
      <c r="U91" s="521">
        <f t="shared" si="53"/>
        <v>0</v>
      </c>
      <c r="V91" s="521">
        <f t="shared" si="54"/>
        <v>0</v>
      </c>
      <c r="W91" s="521">
        <f t="shared" si="55"/>
        <v>0</v>
      </c>
      <c r="X91" s="510"/>
    </row>
    <row r="92" spans="1:24" x14ac:dyDescent="0.2">
      <c r="A92" s="524" t="s">
        <v>378</v>
      </c>
      <c r="B92" s="525" t="s">
        <v>424</v>
      </c>
      <c r="C92" s="525" t="s">
        <v>185</v>
      </c>
      <c r="D92" s="525" t="s">
        <v>209</v>
      </c>
      <c r="E92" s="525" t="s">
        <v>208</v>
      </c>
      <c r="F92" s="526" t="s">
        <v>465</v>
      </c>
      <c r="G92" s="550"/>
      <c r="H92" s="528"/>
      <c r="I92" s="516"/>
      <c r="J92" s="516">
        <v>20</v>
      </c>
      <c r="K92" s="516">
        <v>0</v>
      </c>
      <c r="L92" s="517">
        <v>0</v>
      </c>
      <c r="M92" s="518"/>
      <c r="N92" s="519"/>
      <c r="O92" s="519">
        <v>20</v>
      </c>
      <c r="P92" s="519"/>
      <c r="Q92" s="519"/>
      <c r="R92" s="520" t="s">
        <v>424</v>
      </c>
      <c r="S92" s="521">
        <f t="shared" si="51"/>
        <v>0</v>
      </c>
      <c r="T92" s="521">
        <f t="shared" si="52"/>
        <v>0</v>
      </c>
      <c r="U92" s="521">
        <f t="shared" si="53"/>
        <v>0</v>
      </c>
      <c r="V92" s="521">
        <f t="shared" si="54"/>
        <v>0</v>
      </c>
      <c r="W92" s="521">
        <f t="shared" si="55"/>
        <v>0</v>
      </c>
      <c r="X92" s="510" t="s">
        <v>1506</v>
      </c>
    </row>
    <row r="93" spans="1:24" x14ac:dyDescent="0.2">
      <c r="A93" s="511" t="s">
        <v>378</v>
      </c>
      <c r="B93" s="512" t="s">
        <v>1454</v>
      </c>
      <c r="C93" s="512" t="s">
        <v>185</v>
      </c>
      <c r="D93" s="512" t="s">
        <v>1515</v>
      </c>
      <c r="E93" s="512" t="s">
        <v>214</v>
      </c>
      <c r="F93" s="513" t="s">
        <v>467</v>
      </c>
      <c r="G93" s="568"/>
      <c r="H93" s="515"/>
      <c r="I93" s="529"/>
      <c r="J93" s="516">
        <v>0</v>
      </c>
      <c r="K93" s="516">
        <v>0</v>
      </c>
      <c r="L93" s="517">
        <v>0</v>
      </c>
      <c r="M93" s="518"/>
      <c r="N93" s="519"/>
      <c r="O93" s="519"/>
      <c r="P93" s="519"/>
      <c r="Q93" s="519"/>
      <c r="R93" s="520"/>
      <c r="S93" s="521">
        <f t="shared" si="51"/>
        <v>0</v>
      </c>
      <c r="T93" s="521">
        <f t="shared" si="52"/>
        <v>0</v>
      </c>
      <c r="U93" s="521">
        <f t="shared" si="53"/>
        <v>0</v>
      </c>
      <c r="V93" s="521">
        <f t="shared" si="54"/>
        <v>0</v>
      </c>
      <c r="W93" s="521">
        <f t="shared" si="55"/>
        <v>0</v>
      </c>
      <c r="X93" s="510"/>
    </row>
    <row r="94" spans="1:24" x14ac:dyDescent="0.2">
      <c r="A94" s="524" t="s">
        <v>378</v>
      </c>
      <c r="B94" s="525" t="s">
        <v>424</v>
      </c>
      <c r="C94" s="525" t="s">
        <v>185</v>
      </c>
      <c r="D94" s="525" t="s">
        <v>1516</v>
      </c>
      <c r="E94" s="525" t="s">
        <v>228</v>
      </c>
      <c r="F94" s="526" t="s">
        <v>465</v>
      </c>
      <c r="G94" s="550"/>
      <c r="H94" s="528">
        <v>2</v>
      </c>
      <c r="I94" s="516">
        <v>2</v>
      </c>
      <c r="J94" s="516">
        <v>0</v>
      </c>
      <c r="K94" s="516">
        <v>0</v>
      </c>
      <c r="L94" s="517">
        <v>0</v>
      </c>
      <c r="M94" s="518"/>
      <c r="N94" s="519"/>
      <c r="O94" s="519"/>
      <c r="P94" s="519"/>
      <c r="Q94" s="519"/>
      <c r="R94" s="520"/>
      <c r="S94" s="521">
        <f t="shared" si="51"/>
        <v>2</v>
      </c>
      <c r="T94" s="521">
        <f t="shared" si="52"/>
        <v>2</v>
      </c>
      <c r="U94" s="521">
        <f t="shared" si="53"/>
        <v>0</v>
      </c>
      <c r="V94" s="521">
        <f t="shared" si="54"/>
        <v>0</v>
      </c>
      <c r="W94" s="521">
        <f t="shared" si="55"/>
        <v>0</v>
      </c>
      <c r="X94" s="510" t="s">
        <v>1506</v>
      </c>
    </row>
    <row r="95" spans="1:24" x14ac:dyDescent="0.2">
      <c r="A95" s="511" t="s">
        <v>378</v>
      </c>
      <c r="B95" s="512" t="s">
        <v>1454</v>
      </c>
      <c r="C95" s="512" t="s">
        <v>185</v>
      </c>
      <c r="D95" s="512" t="s">
        <v>1517</v>
      </c>
      <c r="E95" s="555" t="s">
        <v>218</v>
      </c>
      <c r="F95" s="575" t="s">
        <v>467</v>
      </c>
      <c r="G95" s="556"/>
      <c r="H95" s="515"/>
      <c r="I95" s="529"/>
      <c r="J95" s="516">
        <v>0</v>
      </c>
      <c r="K95" s="516">
        <v>18</v>
      </c>
      <c r="L95" s="517">
        <v>0</v>
      </c>
      <c r="M95" s="518"/>
      <c r="N95" s="519"/>
      <c r="O95" s="519"/>
      <c r="P95" s="519">
        <v>18</v>
      </c>
      <c r="Q95" s="519"/>
      <c r="R95" s="520" t="s">
        <v>1496</v>
      </c>
      <c r="S95" s="521">
        <f t="shared" si="51"/>
        <v>0</v>
      </c>
      <c r="T95" s="521">
        <f t="shared" si="52"/>
        <v>0</v>
      </c>
      <c r="U95" s="521">
        <f t="shared" si="53"/>
        <v>0</v>
      </c>
      <c r="V95" s="521">
        <f t="shared" si="54"/>
        <v>0</v>
      </c>
      <c r="W95" s="521">
        <f t="shared" si="55"/>
        <v>0</v>
      </c>
      <c r="X95" s="510"/>
    </row>
    <row r="96" spans="1:24" x14ac:dyDescent="0.2">
      <c r="A96" s="524" t="s">
        <v>378</v>
      </c>
      <c r="B96" s="525" t="s">
        <v>424</v>
      </c>
      <c r="C96" s="525" t="s">
        <v>185</v>
      </c>
      <c r="D96" s="525" t="s">
        <v>1518</v>
      </c>
      <c r="E96" s="525" t="s">
        <v>224</v>
      </c>
      <c r="F96" s="526" t="s">
        <v>465</v>
      </c>
      <c r="G96" s="550"/>
      <c r="H96" s="528">
        <v>0</v>
      </c>
      <c r="I96" s="516">
        <v>0</v>
      </c>
      <c r="J96" s="516">
        <v>0</v>
      </c>
      <c r="K96" s="516">
        <v>0</v>
      </c>
      <c r="L96" s="517">
        <v>0</v>
      </c>
      <c r="M96" s="518"/>
      <c r="N96" s="519"/>
      <c r="O96" s="519"/>
      <c r="P96" s="519"/>
      <c r="Q96" s="519"/>
      <c r="R96" s="520"/>
      <c r="S96" s="521">
        <f t="shared" si="51"/>
        <v>0</v>
      </c>
      <c r="T96" s="521">
        <f t="shared" si="52"/>
        <v>0</v>
      </c>
      <c r="U96" s="521">
        <f t="shared" si="53"/>
        <v>0</v>
      </c>
      <c r="V96" s="521">
        <f t="shared" si="54"/>
        <v>0</v>
      </c>
      <c r="W96" s="521">
        <f t="shared" si="55"/>
        <v>0</v>
      </c>
      <c r="X96" s="510"/>
    </row>
    <row r="97" spans="1:24" ht="14.45" customHeight="1" x14ac:dyDescent="0.2">
      <c r="A97" s="537" t="s">
        <v>3</v>
      </c>
      <c r="B97" s="538"/>
      <c r="C97" s="538"/>
      <c r="D97" s="539"/>
      <c r="E97" s="540"/>
      <c r="F97" s="541"/>
      <c r="G97" s="542"/>
      <c r="H97" s="543">
        <f>SUM(H84:H96)</f>
        <v>209</v>
      </c>
      <c r="I97" s="543">
        <f t="shared" ref="I97:L97" si="56">SUM(I84:I96)</f>
        <v>175</v>
      </c>
      <c r="J97" s="543">
        <f t="shared" si="56"/>
        <v>20</v>
      </c>
      <c r="K97" s="543">
        <f t="shared" si="56"/>
        <v>97</v>
      </c>
      <c r="L97" s="543">
        <f t="shared" si="56"/>
        <v>3</v>
      </c>
      <c r="M97" s="543">
        <f t="shared" ref="M97:Q97" si="57">SUM(M84:M96)</f>
        <v>40</v>
      </c>
      <c r="N97" s="543">
        <f t="shared" si="57"/>
        <v>0</v>
      </c>
      <c r="O97" s="543">
        <f t="shared" si="57"/>
        <v>20</v>
      </c>
      <c r="P97" s="543">
        <f t="shared" si="57"/>
        <v>73</v>
      </c>
      <c r="Q97" s="543">
        <f t="shared" si="57"/>
        <v>1</v>
      </c>
      <c r="R97" s="545"/>
      <c r="S97" s="543">
        <f>SUMIF($S84:$S$96,"&gt;0")</f>
        <v>169</v>
      </c>
      <c r="T97" s="540">
        <f>SUMIF($T84:$T$96,"&gt;0")</f>
        <v>175</v>
      </c>
      <c r="U97" s="540">
        <f>SUMIF($U84:$U$96,"&gt;0")</f>
        <v>0</v>
      </c>
      <c r="V97" s="540">
        <f>SUMIF($V84:$V$96,"&gt;0")</f>
        <v>24</v>
      </c>
      <c r="W97" s="544">
        <f>SUMIF($W84:$W$96,"&gt;0")</f>
        <v>2</v>
      </c>
      <c r="X97" s="510"/>
    </row>
    <row r="98" spans="1:24" x14ac:dyDescent="0.2">
      <c r="A98" s="524" t="s">
        <v>1477</v>
      </c>
      <c r="B98" s="525" t="s">
        <v>424</v>
      </c>
      <c r="C98" s="525" t="s">
        <v>230</v>
      </c>
      <c r="D98" s="525" t="s">
        <v>907</v>
      </c>
      <c r="E98" s="525" t="s">
        <v>908</v>
      </c>
      <c r="F98" s="526" t="s">
        <v>465</v>
      </c>
      <c r="G98" s="550"/>
      <c r="H98" s="528">
        <v>15</v>
      </c>
      <c r="I98" s="516">
        <v>15</v>
      </c>
      <c r="J98" s="516">
        <v>0</v>
      </c>
      <c r="K98" s="516">
        <v>0</v>
      </c>
      <c r="L98" s="517">
        <v>0</v>
      </c>
      <c r="M98" s="518"/>
      <c r="N98" s="519"/>
      <c r="O98" s="519"/>
      <c r="P98" s="519"/>
      <c r="Q98" s="519"/>
      <c r="R98" s="520"/>
      <c r="S98" s="521">
        <f t="shared" ref="S98:W126" si="58">H98-M98</f>
        <v>15</v>
      </c>
      <c r="T98" s="522">
        <f t="shared" si="58"/>
        <v>15</v>
      </c>
      <c r="U98" s="522">
        <f t="shared" si="58"/>
        <v>0</v>
      </c>
      <c r="V98" s="522">
        <f t="shared" si="58"/>
        <v>0</v>
      </c>
      <c r="W98" s="523">
        <f t="shared" si="58"/>
        <v>0</v>
      </c>
      <c r="X98" s="510"/>
    </row>
    <row r="99" spans="1:24" x14ac:dyDescent="0.2">
      <c r="A99" s="511" t="s">
        <v>1477</v>
      </c>
      <c r="B99" s="512" t="s">
        <v>1483</v>
      </c>
      <c r="C99" s="512" t="s">
        <v>230</v>
      </c>
      <c r="D99" s="512" t="s">
        <v>917</v>
      </c>
      <c r="E99" s="512" t="s">
        <v>918</v>
      </c>
      <c r="F99" s="513" t="s">
        <v>465</v>
      </c>
      <c r="G99" s="514"/>
      <c r="H99" s="528"/>
      <c r="I99" s="516"/>
      <c r="J99" s="516">
        <v>0</v>
      </c>
      <c r="K99" s="516">
        <v>20</v>
      </c>
      <c r="L99" s="517">
        <v>1</v>
      </c>
      <c r="M99" s="518"/>
      <c r="N99" s="519"/>
      <c r="O99" s="519"/>
      <c r="P99" s="519">
        <v>20</v>
      </c>
      <c r="Q99" s="519"/>
      <c r="R99" s="520" t="s">
        <v>1066</v>
      </c>
      <c r="S99" s="521">
        <f t="shared" si="58"/>
        <v>0</v>
      </c>
      <c r="T99" s="522">
        <f t="shared" si="58"/>
        <v>0</v>
      </c>
      <c r="U99" s="522">
        <f t="shared" si="58"/>
        <v>0</v>
      </c>
      <c r="V99" s="522">
        <f t="shared" si="58"/>
        <v>0</v>
      </c>
      <c r="W99" s="523">
        <f t="shared" si="58"/>
        <v>1</v>
      </c>
      <c r="X99" s="510"/>
    </row>
    <row r="100" spans="1:24" x14ac:dyDescent="0.2">
      <c r="A100" s="793" t="s">
        <v>1477</v>
      </c>
      <c r="B100" s="794" t="s">
        <v>424</v>
      </c>
      <c r="C100" s="794" t="s">
        <v>230</v>
      </c>
      <c r="D100" s="512" t="s">
        <v>715</v>
      </c>
      <c r="E100" s="512" t="s">
        <v>1278</v>
      </c>
      <c r="F100" s="513" t="s">
        <v>465</v>
      </c>
      <c r="G100" s="514"/>
      <c r="H100" s="798"/>
      <c r="I100" s="799"/>
      <c r="J100" s="799"/>
      <c r="K100" s="799"/>
      <c r="L100" s="800"/>
      <c r="M100" s="518"/>
      <c r="N100" s="578"/>
      <c r="O100" s="578"/>
      <c r="P100" s="578"/>
      <c r="Q100" s="578"/>
      <c r="R100" s="520"/>
      <c r="S100" s="521"/>
      <c r="T100" s="522"/>
      <c r="U100" s="522"/>
      <c r="V100" s="522"/>
      <c r="W100" s="523"/>
      <c r="X100" s="510"/>
    </row>
    <row r="101" spans="1:24" ht="14.45" customHeight="1" x14ac:dyDescent="0.2">
      <c r="A101" s="537" t="s">
        <v>3</v>
      </c>
      <c r="B101" s="538"/>
      <c r="C101" s="538"/>
      <c r="D101" s="539"/>
      <c r="E101" s="540"/>
      <c r="F101" s="541"/>
      <c r="G101" s="542"/>
      <c r="H101" s="576">
        <f>SUM(H98:H100)</f>
        <v>15</v>
      </c>
      <c r="I101" s="576">
        <f t="shared" ref="I101:L101" si="59">SUM(I98:I100)</f>
        <v>15</v>
      </c>
      <c r="J101" s="576">
        <f t="shared" si="59"/>
        <v>0</v>
      </c>
      <c r="K101" s="576">
        <f t="shared" si="59"/>
        <v>20</v>
      </c>
      <c r="L101" s="576">
        <f t="shared" si="59"/>
        <v>1</v>
      </c>
      <c r="M101" s="543">
        <f>SUM(M98:M100)</f>
        <v>0</v>
      </c>
      <c r="N101" s="543">
        <f t="shared" ref="N101:Q101" si="60">SUM(N98:N100)</f>
        <v>0</v>
      </c>
      <c r="O101" s="543">
        <f t="shared" si="60"/>
        <v>0</v>
      </c>
      <c r="P101" s="543">
        <f t="shared" si="60"/>
        <v>20</v>
      </c>
      <c r="Q101" s="543">
        <f t="shared" si="60"/>
        <v>0</v>
      </c>
      <c r="R101" s="545"/>
      <c r="S101" s="543">
        <f>SUMIF($S98:$S$100,"&gt;0")</f>
        <v>15</v>
      </c>
      <c r="T101" s="540">
        <f>SUMIF($T98:$T$100,"&gt;0")</f>
        <v>15</v>
      </c>
      <c r="U101" s="540">
        <f>SUMIF($U98:$U$100,"&gt;0")</f>
        <v>0</v>
      </c>
      <c r="V101" s="540">
        <f>SUMIF($V98:$V$100,"&gt;0")</f>
        <v>0</v>
      </c>
      <c r="W101" s="544">
        <f>SUMIF($W98:$W$100,"&gt;0")</f>
        <v>1</v>
      </c>
      <c r="X101" s="510"/>
    </row>
    <row r="102" spans="1:24" x14ac:dyDescent="0.2">
      <c r="A102" s="524" t="s">
        <v>378</v>
      </c>
      <c r="B102" s="525" t="s">
        <v>424</v>
      </c>
      <c r="C102" s="525" t="s">
        <v>237</v>
      </c>
      <c r="D102" s="525" t="s">
        <v>1519</v>
      </c>
      <c r="E102" s="525" t="s">
        <v>245</v>
      </c>
      <c r="F102" s="526" t="s">
        <v>465</v>
      </c>
      <c r="G102" s="577"/>
      <c r="H102" s="528">
        <v>4</v>
      </c>
      <c r="I102" s="516">
        <v>4</v>
      </c>
      <c r="J102" s="516"/>
      <c r="K102" s="516">
        <v>0</v>
      </c>
      <c r="L102" s="517">
        <v>0</v>
      </c>
      <c r="M102" s="578"/>
      <c r="N102" s="519"/>
      <c r="O102" s="519"/>
      <c r="P102" s="519"/>
      <c r="Q102" s="519"/>
      <c r="R102" s="520"/>
      <c r="S102" s="521">
        <f t="shared" ref="S102:S123" si="61">H102-M102</f>
        <v>4</v>
      </c>
      <c r="T102" s="521">
        <f t="shared" ref="T102:T123" si="62">I102-N102</f>
        <v>4</v>
      </c>
      <c r="U102" s="521">
        <f t="shared" ref="U102:U123" si="63">J102-O102</f>
        <v>0</v>
      </c>
      <c r="V102" s="521">
        <f t="shared" ref="V102:V123" si="64">K102-P102</f>
        <v>0</v>
      </c>
      <c r="W102" s="521">
        <f t="shared" ref="W102:W123" si="65">L102-Q102</f>
        <v>0</v>
      </c>
      <c r="X102" s="510"/>
    </row>
    <row r="103" spans="1:24" x14ac:dyDescent="0.2">
      <c r="A103" s="511" t="s">
        <v>378</v>
      </c>
      <c r="B103" s="512" t="s">
        <v>424</v>
      </c>
      <c r="C103" s="512" t="s">
        <v>237</v>
      </c>
      <c r="D103" s="512" t="s">
        <v>1520</v>
      </c>
      <c r="E103" s="512" t="s">
        <v>251</v>
      </c>
      <c r="F103" s="513" t="s">
        <v>465</v>
      </c>
      <c r="G103" s="579" t="s">
        <v>1459</v>
      </c>
      <c r="H103" s="528">
        <v>43</v>
      </c>
      <c r="I103" s="516">
        <v>43</v>
      </c>
      <c r="J103" s="516">
        <v>50</v>
      </c>
      <c r="K103" s="516">
        <v>0</v>
      </c>
      <c r="L103" s="517">
        <v>0</v>
      </c>
      <c r="M103" s="578"/>
      <c r="N103" s="519"/>
      <c r="O103" s="519"/>
      <c r="P103" s="519"/>
      <c r="Q103" s="519"/>
      <c r="R103" s="520" t="s">
        <v>1521</v>
      </c>
      <c r="S103" s="521">
        <f t="shared" si="61"/>
        <v>43</v>
      </c>
      <c r="T103" s="521">
        <f t="shared" si="62"/>
        <v>43</v>
      </c>
      <c r="U103" s="521">
        <f t="shared" si="63"/>
        <v>50</v>
      </c>
      <c r="V103" s="521">
        <f t="shared" si="64"/>
        <v>0</v>
      </c>
      <c r="W103" s="521">
        <f t="shared" si="65"/>
        <v>0</v>
      </c>
      <c r="X103" s="510"/>
    </row>
    <row r="104" spans="1:24" x14ac:dyDescent="0.2">
      <c r="A104" s="524" t="s">
        <v>378</v>
      </c>
      <c r="B104" s="525" t="s">
        <v>1462</v>
      </c>
      <c r="C104" s="525" t="s">
        <v>237</v>
      </c>
      <c r="D104" s="525" t="s">
        <v>1522</v>
      </c>
      <c r="E104" s="525" t="s">
        <v>253</v>
      </c>
      <c r="F104" s="526" t="s">
        <v>465</v>
      </c>
      <c r="G104" s="577"/>
      <c r="H104" s="528">
        <v>265</v>
      </c>
      <c r="I104" s="516">
        <v>0</v>
      </c>
      <c r="J104" s="516">
        <v>42</v>
      </c>
      <c r="K104" s="516">
        <v>0</v>
      </c>
      <c r="L104" s="517">
        <v>0</v>
      </c>
      <c r="M104" s="578"/>
      <c r="N104" s="519"/>
      <c r="O104" s="519"/>
      <c r="P104" s="519"/>
      <c r="Q104" s="519"/>
      <c r="R104" s="520"/>
      <c r="S104" s="521">
        <f t="shared" si="61"/>
        <v>265</v>
      </c>
      <c r="T104" s="521">
        <f t="shared" si="62"/>
        <v>0</v>
      </c>
      <c r="U104" s="521">
        <f t="shared" si="63"/>
        <v>42</v>
      </c>
      <c r="V104" s="521">
        <f t="shared" si="64"/>
        <v>0</v>
      </c>
      <c r="W104" s="521">
        <f t="shared" si="65"/>
        <v>0</v>
      </c>
      <c r="X104" s="510"/>
    </row>
    <row r="105" spans="1:24" x14ac:dyDescent="0.2">
      <c r="A105" s="511" t="s">
        <v>378</v>
      </c>
      <c r="B105" s="512" t="s">
        <v>424</v>
      </c>
      <c r="C105" s="512" t="s">
        <v>237</v>
      </c>
      <c r="D105" s="512" t="s">
        <v>256</v>
      </c>
      <c r="E105" s="512" t="s">
        <v>255</v>
      </c>
      <c r="F105" s="513" t="s">
        <v>465</v>
      </c>
      <c r="G105" s="580"/>
      <c r="H105" s="528">
        <v>40</v>
      </c>
      <c r="I105" s="516">
        <v>0</v>
      </c>
      <c r="J105" s="516">
        <v>0</v>
      </c>
      <c r="K105" s="516">
        <v>20</v>
      </c>
      <c r="L105" s="517">
        <v>0</v>
      </c>
      <c r="M105" s="578"/>
      <c r="N105" s="519"/>
      <c r="O105" s="519"/>
      <c r="P105" s="519"/>
      <c r="Q105" s="519"/>
      <c r="R105" s="520"/>
      <c r="S105" s="521">
        <f t="shared" si="61"/>
        <v>40</v>
      </c>
      <c r="T105" s="521">
        <f t="shared" si="62"/>
        <v>0</v>
      </c>
      <c r="U105" s="521">
        <f t="shared" si="63"/>
        <v>0</v>
      </c>
      <c r="V105" s="521">
        <f t="shared" si="64"/>
        <v>20</v>
      </c>
      <c r="W105" s="521">
        <f t="shared" si="65"/>
        <v>0</v>
      </c>
      <c r="X105" s="510"/>
    </row>
    <row r="106" spans="1:24" x14ac:dyDescent="0.2">
      <c r="A106" s="524" t="s">
        <v>378</v>
      </c>
      <c r="B106" s="525" t="s">
        <v>424</v>
      </c>
      <c r="C106" s="525" t="s">
        <v>237</v>
      </c>
      <c r="D106" s="525" t="s">
        <v>240</v>
      </c>
      <c r="E106" s="525" t="s">
        <v>239</v>
      </c>
      <c r="F106" s="526" t="s">
        <v>465</v>
      </c>
      <c r="G106" s="577"/>
      <c r="H106" s="528">
        <v>60</v>
      </c>
      <c r="I106" s="516">
        <v>0</v>
      </c>
      <c r="J106" s="516">
        <v>0</v>
      </c>
      <c r="K106" s="516">
        <v>10</v>
      </c>
      <c r="L106" s="517">
        <v>0</v>
      </c>
      <c r="M106" s="578"/>
      <c r="N106" s="519"/>
      <c r="O106" s="519"/>
      <c r="P106" s="519"/>
      <c r="Q106" s="519"/>
      <c r="R106" s="520"/>
      <c r="S106" s="521">
        <f t="shared" si="61"/>
        <v>60</v>
      </c>
      <c r="T106" s="521">
        <f t="shared" si="62"/>
        <v>0</v>
      </c>
      <c r="U106" s="521">
        <f t="shared" si="63"/>
        <v>0</v>
      </c>
      <c r="V106" s="521">
        <f t="shared" si="64"/>
        <v>10</v>
      </c>
      <c r="W106" s="521">
        <f t="shared" si="65"/>
        <v>0</v>
      </c>
      <c r="X106" s="510"/>
    </row>
    <row r="107" spans="1:24" x14ac:dyDescent="0.2">
      <c r="A107" s="511" t="s">
        <v>378</v>
      </c>
      <c r="B107" s="512" t="s">
        <v>424</v>
      </c>
      <c r="C107" s="512" t="s">
        <v>237</v>
      </c>
      <c r="D107" s="512" t="s">
        <v>1523</v>
      </c>
      <c r="E107" s="512" t="s">
        <v>283</v>
      </c>
      <c r="F107" s="513" t="s">
        <v>465</v>
      </c>
      <c r="G107" s="580" t="s">
        <v>1459</v>
      </c>
      <c r="H107" s="528">
        <v>21</v>
      </c>
      <c r="I107" s="516">
        <v>30</v>
      </c>
      <c r="J107" s="516">
        <v>0</v>
      </c>
      <c r="K107" s="516">
        <v>30</v>
      </c>
      <c r="L107" s="517">
        <v>0</v>
      </c>
      <c r="M107" s="578">
        <v>20</v>
      </c>
      <c r="N107" s="519">
        <v>20</v>
      </c>
      <c r="O107" s="519"/>
      <c r="P107" s="519"/>
      <c r="Q107" s="519"/>
      <c r="R107" s="520" t="s">
        <v>1521</v>
      </c>
      <c r="S107" s="521">
        <f t="shared" si="61"/>
        <v>1</v>
      </c>
      <c r="T107" s="521">
        <f t="shared" si="62"/>
        <v>10</v>
      </c>
      <c r="U107" s="521">
        <f t="shared" si="63"/>
        <v>0</v>
      </c>
      <c r="V107" s="521">
        <f t="shared" si="64"/>
        <v>30</v>
      </c>
      <c r="W107" s="521">
        <f t="shared" si="65"/>
        <v>0</v>
      </c>
      <c r="X107" s="510"/>
    </row>
    <row r="108" spans="1:24" x14ac:dyDescent="0.2">
      <c r="A108" s="524" t="s">
        <v>378</v>
      </c>
      <c r="B108" s="525" t="s">
        <v>424</v>
      </c>
      <c r="C108" s="525" t="s">
        <v>237</v>
      </c>
      <c r="D108" s="525" t="s">
        <v>258</v>
      </c>
      <c r="E108" s="525" t="s">
        <v>257</v>
      </c>
      <c r="F108" s="526" t="s">
        <v>465</v>
      </c>
      <c r="G108" s="577"/>
      <c r="H108" s="528">
        <v>52</v>
      </c>
      <c r="I108" s="516"/>
      <c r="J108" s="516">
        <v>0</v>
      </c>
      <c r="K108" s="516">
        <v>20</v>
      </c>
      <c r="L108" s="517">
        <v>0</v>
      </c>
      <c r="M108" s="578"/>
      <c r="N108" s="519"/>
      <c r="O108" s="519"/>
      <c r="P108" s="519"/>
      <c r="Q108" s="519"/>
      <c r="R108" s="520"/>
      <c r="S108" s="521">
        <f t="shared" si="61"/>
        <v>52</v>
      </c>
      <c r="T108" s="521">
        <f t="shared" si="62"/>
        <v>0</v>
      </c>
      <c r="U108" s="521">
        <f t="shared" si="63"/>
        <v>0</v>
      </c>
      <c r="V108" s="521">
        <f t="shared" si="64"/>
        <v>20</v>
      </c>
      <c r="W108" s="521">
        <f t="shared" si="65"/>
        <v>0</v>
      </c>
      <c r="X108" s="510"/>
    </row>
    <row r="109" spans="1:24" x14ac:dyDescent="0.2">
      <c r="A109" s="511" t="s">
        <v>378</v>
      </c>
      <c r="B109" s="512" t="s">
        <v>424</v>
      </c>
      <c r="C109" s="512" t="s">
        <v>237</v>
      </c>
      <c r="D109" s="512" t="s">
        <v>260</v>
      </c>
      <c r="E109" s="512" t="s">
        <v>259</v>
      </c>
      <c r="F109" s="513" t="s">
        <v>465</v>
      </c>
      <c r="G109" s="579" t="s">
        <v>1459</v>
      </c>
      <c r="H109" s="528">
        <v>15</v>
      </c>
      <c r="I109" s="516">
        <v>15</v>
      </c>
      <c r="J109" s="516"/>
      <c r="K109" s="516">
        <v>0</v>
      </c>
      <c r="L109" s="517">
        <v>0</v>
      </c>
      <c r="M109" s="578">
        <v>8</v>
      </c>
      <c r="N109" s="519">
        <v>8</v>
      </c>
      <c r="O109" s="519"/>
      <c r="P109" s="519"/>
      <c r="Q109" s="519"/>
      <c r="R109" s="520" t="s">
        <v>1521</v>
      </c>
      <c r="S109" s="521">
        <f t="shared" si="61"/>
        <v>7</v>
      </c>
      <c r="T109" s="521">
        <f t="shared" si="62"/>
        <v>7</v>
      </c>
      <c r="U109" s="521">
        <f t="shared" si="63"/>
        <v>0</v>
      </c>
      <c r="V109" s="521">
        <f t="shared" si="64"/>
        <v>0</v>
      </c>
      <c r="W109" s="521">
        <f t="shared" si="65"/>
        <v>0</v>
      </c>
      <c r="X109" s="510"/>
    </row>
    <row r="110" spans="1:24" x14ac:dyDescent="0.2">
      <c r="A110" s="524" t="s">
        <v>378</v>
      </c>
      <c r="B110" s="525" t="s">
        <v>462</v>
      </c>
      <c r="C110" s="525" t="s">
        <v>237</v>
      </c>
      <c r="D110" s="525" t="s">
        <v>262</v>
      </c>
      <c r="E110" s="525" t="s">
        <v>261</v>
      </c>
      <c r="F110" s="526" t="s">
        <v>465</v>
      </c>
      <c r="G110" s="577"/>
      <c r="H110" s="528">
        <v>0</v>
      </c>
      <c r="I110" s="516"/>
      <c r="J110" s="516"/>
      <c r="K110" s="516">
        <v>0</v>
      </c>
      <c r="L110" s="517">
        <v>0</v>
      </c>
      <c r="M110" s="578"/>
      <c r="N110" s="519"/>
      <c r="O110" s="519"/>
      <c r="P110" s="519"/>
      <c r="Q110" s="519"/>
      <c r="R110" s="520" t="s">
        <v>462</v>
      </c>
      <c r="S110" s="521">
        <f t="shared" si="61"/>
        <v>0</v>
      </c>
      <c r="T110" s="521">
        <f t="shared" si="62"/>
        <v>0</v>
      </c>
      <c r="U110" s="521">
        <f t="shared" si="63"/>
        <v>0</v>
      </c>
      <c r="V110" s="521">
        <f t="shared" si="64"/>
        <v>0</v>
      </c>
      <c r="W110" s="521">
        <f t="shared" si="65"/>
        <v>0</v>
      </c>
      <c r="X110" s="510"/>
    </row>
    <row r="111" spans="1:24" x14ac:dyDescent="0.2">
      <c r="A111" s="511" t="s">
        <v>378</v>
      </c>
      <c r="B111" s="512" t="s">
        <v>462</v>
      </c>
      <c r="C111" s="512" t="s">
        <v>237</v>
      </c>
      <c r="D111" s="512" t="s">
        <v>264</v>
      </c>
      <c r="E111" s="512" t="s">
        <v>263</v>
      </c>
      <c r="F111" s="513" t="s">
        <v>465</v>
      </c>
      <c r="G111" s="579"/>
      <c r="H111" s="528"/>
      <c r="I111" s="516"/>
      <c r="J111" s="516">
        <v>0</v>
      </c>
      <c r="K111" s="516">
        <v>0</v>
      </c>
      <c r="L111" s="517">
        <v>0</v>
      </c>
      <c r="M111" s="578"/>
      <c r="N111" s="519"/>
      <c r="O111" s="519"/>
      <c r="P111" s="519"/>
      <c r="Q111" s="519"/>
      <c r="R111" s="520" t="s">
        <v>1458</v>
      </c>
      <c r="S111" s="521">
        <f t="shared" si="61"/>
        <v>0</v>
      </c>
      <c r="T111" s="521">
        <f t="shared" si="62"/>
        <v>0</v>
      </c>
      <c r="U111" s="521">
        <f t="shared" si="63"/>
        <v>0</v>
      </c>
      <c r="V111" s="521">
        <f t="shared" si="64"/>
        <v>0</v>
      </c>
      <c r="W111" s="521">
        <f t="shared" si="65"/>
        <v>0</v>
      </c>
      <c r="X111" s="510"/>
    </row>
    <row r="112" spans="1:24" x14ac:dyDescent="0.2">
      <c r="A112" s="524" t="s">
        <v>378</v>
      </c>
      <c r="B112" s="525" t="s">
        <v>1462</v>
      </c>
      <c r="C112" s="525" t="s">
        <v>237</v>
      </c>
      <c r="D112" s="525" t="s">
        <v>1524</v>
      </c>
      <c r="E112" s="525" t="s">
        <v>269</v>
      </c>
      <c r="F112" s="526" t="s">
        <v>465</v>
      </c>
      <c r="G112" s="577" t="s">
        <v>1459</v>
      </c>
      <c r="H112" s="528">
        <v>0</v>
      </c>
      <c r="I112" s="516">
        <v>0</v>
      </c>
      <c r="J112" s="516">
        <v>0</v>
      </c>
      <c r="K112" s="516">
        <v>20</v>
      </c>
      <c r="L112" s="517">
        <v>0</v>
      </c>
      <c r="M112" s="578"/>
      <c r="N112" s="519"/>
      <c r="O112" s="519"/>
      <c r="P112" s="519"/>
      <c r="Q112" s="519"/>
      <c r="R112" s="520"/>
      <c r="S112" s="521">
        <f t="shared" si="61"/>
        <v>0</v>
      </c>
      <c r="T112" s="521">
        <f t="shared" si="62"/>
        <v>0</v>
      </c>
      <c r="U112" s="521">
        <f t="shared" si="63"/>
        <v>0</v>
      </c>
      <c r="V112" s="521">
        <f t="shared" si="64"/>
        <v>20</v>
      </c>
      <c r="W112" s="521">
        <f t="shared" si="65"/>
        <v>0</v>
      </c>
      <c r="X112" s="510"/>
    </row>
    <row r="113" spans="1:24" x14ac:dyDescent="0.2">
      <c r="A113" s="511" t="s">
        <v>378</v>
      </c>
      <c r="B113" s="512" t="s">
        <v>424</v>
      </c>
      <c r="C113" s="512" t="s">
        <v>237</v>
      </c>
      <c r="D113" s="512" t="s">
        <v>1525</v>
      </c>
      <c r="E113" s="512" t="s">
        <v>267</v>
      </c>
      <c r="F113" s="513" t="s">
        <v>465</v>
      </c>
      <c r="G113" s="579"/>
      <c r="H113" s="528">
        <v>31</v>
      </c>
      <c r="I113" s="516">
        <v>31</v>
      </c>
      <c r="J113" s="516">
        <v>0</v>
      </c>
      <c r="K113" s="516">
        <v>0</v>
      </c>
      <c r="L113" s="517">
        <v>0</v>
      </c>
      <c r="M113" s="578"/>
      <c r="N113" s="519"/>
      <c r="O113" s="519"/>
      <c r="P113" s="519"/>
      <c r="Q113" s="519"/>
      <c r="R113" s="520"/>
      <c r="S113" s="521">
        <f t="shared" si="61"/>
        <v>31</v>
      </c>
      <c r="T113" s="521">
        <f t="shared" si="62"/>
        <v>31</v>
      </c>
      <c r="U113" s="521">
        <f t="shared" si="63"/>
        <v>0</v>
      </c>
      <c r="V113" s="521">
        <f t="shared" si="64"/>
        <v>0</v>
      </c>
      <c r="W113" s="521">
        <f t="shared" si="65"/>
        <v>0</v>
      </c>
      <c r="X113" s="510"/>
    </row>
    <row r="114" spans="1:24" x14ac:dyDescent="0.2">
      <c r="A114" s="524" t="s">
        <v>378</v>
      </c>
      <c r="B114" s="525" t="s">
        <v>1462</v>
      </c>
      <c r="C114" s="525" t="s">
        <v>237</v>
      </c>
      <c r="D114" s="525" t="s">
        <v>1526</v>
      </c>
      <c r="E114" s="525" t="s">
        <v>271</v>
      </c>
      <c r="F114" s="526" t="s">
        <v>465</v>
      </c>
      <c r="G114" s="577" t="s">
        <v>1459</v>
      </c>
      <c r="H114" s="528">
        <v>27</v>
      </c>
      <c r="I114" s="516">
        <v>27</v>
      </c>
      <c r="J114" s="516">
        <v>0</v>
      </c>
      <c r="K114" s="516">
        <v>0</v>
      </c>
      <c r="L114" s="517">
        <v>0</v>
      </c>
      <c r="M114" s="578">
        <v>27</v>
      </c>
      <c r="N114" s="519">
        <v>27</v>
      </c>
      <c r="O114" s="519"/>
      <c r="P114" s="519"/>
      <c r="Q114" s="519"/>
      <c r="R114" s="520" t="s">
        <v>1462</v>
      </c>
      <c r="S114" s="521">
        <f t="shared" si="61"/>
        <v>0</v>
      </c>
      <c r="T114" s="521">
        <f t="shared" si="62"/>
        <v>0</v>
      </c>
      <c r="U114" s="521">
        <f t="shared" si="63"/>
        <v>0</v>
      </c>
      <c r="V114" s="521">
        <f t="shared" si="64"/>
        <v>0</v>
      </c>
      <c r="W114" s="521">
        <f t="shared" si="65"/>
        <v>0</v>
      </c>
      <c r="X114" s="510"/>
    </row>
    <row r="115" spans="1:24" x14ac:dyDescent="0.2">
      <c r="A115" s="511" t="s">
        <v>378</v>
      </c>
      <c r="B115" s="512" t="s">
        <v>424</v>
      </c>
      <c r="C115" s="512" t="s">
        <v>237</v>
      </c>
      <c r="D115" s="512" t="s">
        <v>276</v>
      </c>
      <c r="E115" s="512" t="s">
        <v>275</v>
      </c>
      <c r="F115" s="513" t="s">
        <v>465</v>
      </c>
      <c r="G115" s="580"/>
      <c r="H115" s="528">
        <v>42</v>
      </c>
      <c r="I115" s="516">
        <v>0</v>
      </c>
      <c r="J115" s="516">
        <v>30</v>
      </c>
      <c r="K115" s="516">
        <v>0</v>
      </c>
      <c r="L115" s="517">
        <v>0</v>
      </c>
      <c r="M115" s="578"/>
      <c r="N115" s="519"/>
      <c r="O115" s="519"/>
      <c r="P115" s="519"/>
      <c r="Q115" s="519"/>
      <c r="R115" s="520" t="s">
        <v>1521</v>
      </c>
      <c r="S115" s="521">
        <f t="shared" si="61"/>
        <v>42</v>
      </c>
      <c r="T115" s="521">
        <f t="shared" si="62"/>
        <v>0</v>
      </c>
      <c r="U115" s="521">
        <f t="shared" si="63"/>
        <v>30</v>
      </c>
      <c r="V115" s="521">
        <f t="shared" si="64"/>
        <v>0</v>
      </c>
      <c r="W115" s="521">
        <f t="shared" si="65"/>
        <v>0</v>
      </c>
      <c r="X115" s="510"/>
    </row>
    <row r="116" spans="1:24" x14ac:dyDescent="0.2">
      <c r="A116" s="524" t="s">
        <v>378</v>
      </c>
      <c r="B116" s="525" t="s">
        <v>424</v>
      </c>
      <c r="C116" s="525" t="s">
        <v>237</v>
      </c>
      <c r="D116" s="525" t="s">
        <v>280</v>
      </c>
      <c r="E116" s="525" t="s">
        <v>279</v>
      </c>
      <c r="F116" s="526" t="s">
        <v>465</v>
      </c>
      <c r="G116" s="577"/>
      <c r="H116" s="516">
        <v>5</v>
      </c>
      <c r="I116" s="516">
        <v>5</v>
      </c>
      <c r="J116" s="516"/>
      <c r="K116" s="516">
        <v>0</v>
      </c>
      <c r="L116" s="517">
        <v>0</v>
      </c>
      <c r="M116" s="578">
        <v>5</v>
      </c>
      <c r="N116" s="519">
        <v>5</v>
      </c>
      <c r="O116" s="519"/>
      <c r="P116" s="519"/>
      <c r="Q116" s="519"/>
      <c r="R116" s="520" t="s">
        <v>424</v>
      </c>
      <c r="S116" s="521">
        <f>H116-M116</f>
        <v>0</v>
      </c>
      <c r="T116" s="521">
        <f t="shared" si="62"/>
        <v>0</v>
      </c>
      <c r="U116" s="521">
        <f>J116-O116</f>
        <v>0</v>
      </c>
      <c r="V116" s="521">
        <f t="shared" si="64"/>
        <v>0</v>
      </c>
      <c r="W116" s="521">
        <f t="shared" si="65"/>
        <v>0</v>
      </c>
      <c r="X116" s="510"/>
    </row>
    <row r="117" spans="1:24" x14ac:dyDescent="0.2">
      <c r="A117" s="511" t="s">
        <v>378</v>
      </c>
      <c r="B117" s="512" t="s">
        <v>424</v>
      </c>
      <c r="C117" s="512" t="s">
        <v>237</v>
      </c>
      <c r="D117" s="512" t="s">
        <v>238</v>
      </c>
      <c r="E117" s="512" t="s">
        <v>236</v>
      </c>
      <c r="F117" s="513" t="s">
        <v>465</v>
      </c>
      <c r="G117" s="580"/>
      <c r="H117" s="528">
        <v>0</v>
      </c>
      <c r="I117" s="516">
        <v>0</v>
      </c>
      <c r="J117" s="516">
        <v>0</v>
      </c>
      <c r="K117" s="516">
        <v>0</v>
      </c>
      <c r="L117" s="517">
        <v>0</v>
      </c>
      <c r="M117" s="578"/>
      <c r="N117" s="519"/>
      <c r="O117" s="519"/>
      <c r="P117" s="519"/>
      <c r="Q117" s="519"/>
      <c r="R117" s="520"/>
      <c r="S117" s="521">
        <f t="shared" si="61"/>
        <v>0</v>
      </c>
      <c r="T117" s="521">
        <f t="shared" si="62"/>
        <v>0</v>
      </c>
      <c r="U117" s="521">
        <f t="shared" si="63"/>
        <v>0</v>
      </c>
      <c r="V117" s="521">
        <f t="shared" si="64"/>
        <v>0</v>
      </c>
      <c r="W117" s="521">
        <f t="shared" si="65"/>
        <v>0</v>
      </c>
      <c r="X117" s="510"/>
    </row>
    <row r="118" spans="1:24" x14ac:dyDescent="0.2">
      <c r="A118" s="524" t="s">
        <v>378</v>
      </c>
      <c r="B118" s="525" t="s">
        <v>462</v>
      </c>
      <c r="C118" s="525" t="s">
        <v>237</v>
      </c>
      <c r="D118" s="525" t="s">
        <v>1049</v>
      </c>
      <c r="E118" s="525" t="s">
        <v>241</v>
      </c>
      <c r="F118" s="526" t="s">
        <v>465</v>
      </c>
      <c r="G118" s="577"/>
      <c r="H118" s="528">
        <v>0</v>
      </c>
      <c r="I118" s="516">
        <v>0</v>
      </c>
      <c r="J118" s="516">
        <v>0</v>
      </c>
      <c r="K118" s="516">
        <v>5</v>
      </c>
      <c r="L118" s="517"/>
      <c r="M118" s="578"/>
      <c r="N118" s="519"/>
      <c r="O118" s="519"/>
      <c r="P118" s="519">
        <v>5</v>
      </c>
      <c r="Q118" s="519"/>
      <c r="R118" s="520" t="s">
        <v>1458</v>
      </c>
      <c r="S118" s="521">
        <f t="shared" si="61"/>
        <v>0</v>
      </c>
      <c r="T118" s="521">
        <f t="shared" si="62"/>
        <v>0</v>
      </c>
      <c r="U118" s="521">
        <f t="shared" si="63"/>
        <v>0</v>
      </c>
      <c r="V118" s="521">
        <f t="shared" si="64"/>
        <v>0</v>
      </c>
      <c r="W118" s="521">
        <f t="shared" si="65"/>
        <v>0</v>
      </c>
      <c r="X118" s="510"/>
    </row>
    <row r="119" spans="1:24" x14ac:dyDescent="0.2">
      <c r="A119" s="511" t="s">
        <v>378</v>
      </c>
      <c r="B119" s="512" t="s">
        <v>462</v>
      </c>
      <c r="C119" s="512" t="s">
        <v>237</v>
      </c>
      <c r="D119" s="512" t="s">
        <v>248</v>
      </c>
      <c r="E119" s="512" t="s">
        <v>247</v>
      </c>
      <c r="F119" s="513" t="s">
        <v>465</v>
      </c>
      <c r="G119" s="580"/>
      <c r="H119" s="528">
        <v>0</v>
      </c>
      <c r="I119" s="516">
        <v>0</v>
      </c>
      <c r="J119" s="516">
        <v>0</v>
      </c>
      <c r="K119" s="516">
        <v>0</v>
      </c>
      <c r="L119" s="517"/>
      <c r="M119" s="578"/>
      <c r="N119" s="519"/>
      <c r="O119" s="519"/>
      <c r="P119" s="519"/>
      <c r="Q119" s="519"/>
      <c r="R119" s="520" t="s">
        <v>1458</v>
      </c>
      <c r="S119" s="521">
        <f t="shared" si="61"/>
        <v>0</v>
      </c>
      <c r="T119" s="521">
        <f t="shared" si="62"/>
        <v>0</v>
      </c>
      <c r="U119" s="521">
        <f t="shared" si="63"/>
        <v>0</v>
      </c>
      <c r="V119" s="521">
        <f t="shared" si="64"/>
        <v>0</v>
      </c>
      <c r="W119" s="521">
        <f t="shared" si="65"/>
        <v>0</v>
      </c>
      <c r="X119" s="510"/>
    </row>
    <row r="120" spans="1:24" x14ac:dyDescent="0.2">
      <c r="A120" s="524" t="s">
        <v>378</v>
      </c>
      <c r="B120" s="525" t="s">
        <v>424</v>
      </c>
      <c r="C120" s="525" t="s">
        <v>237</v>
      </c>
      <c r="D120" s="525" t="s">
        <v>250</v>
      </c>
      <c r="E120" s="525" t="s">
        <v>249</v>
      </c>
      <c r="F120" s="526" t="s">
        <v>465</v>
      </c>
      <c r="G120" s="577"/>
      <c r="H120" s="528">
        <v>10</v>
      </c>
      <c r="I120" s="516">
        <v>30</v>
      </c>
      <c r="J120" s="516"/>
      <c r="K120" s="516">
        <v>31</v>
      </c>
      <c r="L120" s="517">
        <v>0</v>
      </c>
      <c r="M120" s="578"/>
      <c r="N120" s="519"/>
      <c r="O120" s="519"/>
      <c r="P120" s="519"/>
      <c r="Q120" s="519"/>
      <c r="R120" s="520"/>
      <c r="S120" s="521">
        <f t="shared" si="61"/>
        <v>10</v>
      </c>
      <c r="T120" s="521">
        <f t="shared" si="62"/>
        <v>30</v>
      </c>
      <c r="U120" s="521">
        <f t="shared" si="63"/>
        <v>0</v>
      </c>
      <c r="V120" s="521">
        <f t="shared" si="64"/>
        <v>31</v>
      </c>
      <c r="W120" s="521">
        <f t="shared" si="65"/>
        <v>0</v>
      </c>
      <c r="X120" s="510" t="s">
        <v>1506</v>
      </c>
    </row>
    <row r="121" spans="1:24" x14ac:dyDescent="0.2">
      <c r="A121" s="511" t="s">
        <v>378</v>
      </c>
      <c r="B121" s="512" t="s">
        <v>424</v>
      </c>
      <c r="C121" s="512" t="s">
        <v>237</v>
      </c>
      <c r="D121" s="512" t="s">
        <v>274</v>
      </c>
      <c r="E121" s="512" t="s">
        <v>273</v>
      </c>
      <c r="F121" s="513" t="s">
        <v>465</v>
      </c>
      <c r="G121" s="580"/>
      <c r="H121" s="528">
        <v>8</v>
      </c>
      <c r="I121" s="516">
        <v>8</v>
      </c>
      <c r="J121" s="516"/>
      <c r="K121" s="516">
        <v>0</v>
      </c>
      <c r="L121" s="517">
        <v>0</v>
      </c>
      <c r="M121" s="578"/>
      <c r="N121" s="519"/>
      <c r="O121" s="519"/>
      <c r="P121" s="519"/>
      <c r="Q121" s="519"/>
      <c r="R121" s="520"/>
      <c r="S121" s="521">
        <f t="shared" si="61"/>
        <v>8</v>
      </c>
      <c r="T121" s="521">
        <f t="shared" si="62"/>
        <v>8</v>
      </c>
      <c r="U121" s="521">
        <f t="shared" si="63"/>
        <v>0</v>
      </c>
      <c r="V121" s="521">
        <f t="shared" si="64"/>
        <v>0</v>
      </c>
      <c r="W121" s="521">
        <f t="shared" si="65"/>
        <v>0</v>
      </c>
      <c r="X121" s="510"/>
    </row>
    <row r="122" spans="1:24" x14ac:dyDescent="0.2">
      <c r="A122" s="524" t="s">
        <v>378</v>
      </c>
      <c r="B122" s="525" t="s">
        <v>462</v>
      </c>
      <c r="C122" s="525" t="s">
        <v>237</v>
      </c>
      <c r="D122" s="525" t="s">
        <v>278</v>
      </c>
      <c r="E122" s="525" t="s">
        <v>277</v>
      </c>
      <c r="F122" s="526" t="s">
        <v>465</v>
      </c>
      <c r="G122" s="577"/>
      <c r="H122" s="528">
        <v>0</v>
      </c>
      <c r="I122" s="516">
        <v>0</v>
      </c>
      <c r="J122" s="516">
        <v>0</v>
      </c>
      <c r="K122" s="516">
        <v>0</v>
      </c>
      <c r="L122" s="517"/>
      <c r="M122" s="578"/>
      <c r="N122" s="519"/>
      <c r="O122" s="519"/>
      <c r="P122" s="519"/>
      <c r="Q122" s="519"/>
      <c r="R122" s="520" t="s">
        <v>1458</v>
      </c>
      <c r="S122" s="521">
        <f t="shared" si="61"/>
        <v>0</v>
      </c>
      <c r="T122" s="521">
        <f t="shared" si="62"/>
        <v>0</v>
      </c>
      <c r="U122" s="521">
        <f t="shared" si="63"/>
        <v>0</v>
      </c>
      <c r="V122" s="521">
        <f t="shared" si="64"/>
        <v>0</v>
      </c>
      <c r="W122" s="521">
        <f t="shared" si="65"/>
        <v>0</v>
      </c>
      <c r="X122" s="510"/>
    </row>
    <row r="123" spans="1:24" ht="12.75" thickBot="1" x14ac:dyDescent="0.25">
      <c r="A123" s="511" t="s">
        <v>378</v>
      </c>
      <c r="B123" s="512" t="s">
        <v>462</v>
      </c>
      <c r="C123" s="512" t="s">
        <v>237</v>
      </c>
      <c r="D123" s="512" t="s">
        <v>1527</v>
      </c>
      <c r="E123" s="512" t="s">
        <v>281</v>
      </c>
      <c r="F123" s="513" t="s">
        <v>465</v>
      </c>
      <c r="G123" s="580"/>
      <c r="H123" s="581">
        <v>0</v>
      </c>
      <c r="I123" s="582">
        <v>0</v>
      </c>
      <c r="J123" s="582">
        <v>0</v>
      </c>
      <c r="K123" s="582">
        <v>0</v>
      </c>
      <c r="L123" s="583">
        <v>0</v>
      </c>
      <c r="M123" s="578"/>
      <c r="N123" s="519"/>
      <c r="O123" s="519"/>
      <c r="P123" s="519"/>
      <c r="Q123" s="519"/>
      <c r="R123" s="520"/>
      <c r="S123" s="521">
        <f t="shared" si="61"/>
        <v>0</v>
      </c>
      <c r="T123" s="521">
        <f t="shared" si="62"/>
        <v>0</v>
      </c>
      <c r="U123" s="521">
        <f t="shared" si="63"/>
        <v>0</v>
      </c>
      <c r="V123" s="521">
        <f t="shared" si="64"/>
        <v>0</v>
      </c>
      <c r="W123" s="521">
        <f t="shared" si="65"/>
        <v>0</v>
      </c>
      <c r="X123" s="510"/>
    </row>
    <row r="124" spans="1:24" ht="14.45" customHeight="1" x14ac:dyDescent="0.2">
      <c r="A124" s="537" t="s">
        <v>3</v>
      </c>
      <c r="B124" s="538"/>
      <c r="C124" s="538"/>
      <c r="D124" s="539"/>
      <c r="E124" s="540"/>
      <c r="F124" s="541"/>
      <c r="G124" s="542"/>
      <c r="H124" s="584">
        <f>SUM(H102:H123)</f>
        <v>623</v>
      </c>
      <c r="I124" s="584">
        <f t="shared" ref="I124:L124" si="66">SUM(I102:I123)</f>
        <v>193</v>
      </c>
      <c r="J124" s="584">
        <f t="shared" si="66"/>
        <v>122</v>
      </c>
      <c r="K124" s="584">
        <f t="shared" si="66"/>
        <v>136</v>
      </c>
      <c r="L124" s="584">
        <f t="shared" si="66"/>
        <v>0</v>
      </c>
      <c r="M124" s="543">
        <f t="shared" ref="M124:Q124" si="67">SUM(M102:M123)</f>
        <v>60</v>
      </c>
      <c r="N124" s="543">
        <f t="shared" si="67"/>
        <v>60</v>
      </c>
      <c r="O124" s="543">
        <f t="shared" si="67"/>
        <v>0</v>
      </c>
      <c r="P124" s="543">
        <f t="shared" si="67"/>
        <v>5</v>
      </c>
      <c r="Q124" s="543">
        <f t="shared" si="67"/>
        <v>0</v>
      </c>
      <c r="R124" s="545"/>
      <c r="S124" s="543">
        <f>SUMIF($S102:$S$123,"&gt;0")</f>
        <v>563</v>
      </c>
      <c r="T124" s="540">
        <f>SUMIF($T102:$T$123,"&gt;0")</f>
        <v>133</v>
      </c>
      <c r="U124" s="540">
        <f>SUMIF($U102:$U$123,"&gt;0")</f>
        <v>122</v>
      </c>
      <c r="V124" s="540">
        <f>SUMIF($V102:$V$123,"&gt;0")</f>
        <v>131</v>
      </c>
      <c r="W124" s="544">
        <f>SUMIF($W102:$W$123,"&gt;0")</f>
        <v>0</v>
      </c>
      <c r="X124" s="510"/>
    </row>
    <row r="125" spans="1:24" x14ac:dyDescent="0.2">
      <c r="A125" s="524" t="s">
        <v>1477</v>
      </c>
      <c r="B125" s="525" t="s">
        <v>424</v>
      </c>
      <c r="C125" s="525" t="s">
        <v>1528</v>
      </c>
      <c r="D125" s="525" t="s">
        <v>291</v>
      </c>
      <c r="E125" s="525" t="s">
        <v>290</v>
      </c>
      <c r="F125" s="526" t="s">
        <v>465</v>
      </c>
      <c r="G125" s="550"/>
      <c r="H125" s="528">
        <v>2</v>
      </c>
      <c r="I125" s="516">
        <v>2</v>
      </c>
      <c r="J125" s="516"/>
      <c r="K125" s="516"/>
      <c r="L125" s="517"/>
      <c r="M125" s="518"/>
      <c r="N125" s="519"/>
      <c r="O125" s="519"/>
      <c r="P125" s="519"/>
      <c r="Q125" s="519"/>
      <c r="R125" s="520"/>
      <c r="S125" s="521">
        <f t="shared" si="58"/>
        <v>2</v>
      </c>
      <c r="T125" s="522">
        <f t="shared" si="58"/>
        <v>2</v>
      </c>
      <c r="U125" s="522">
        <f t="shared" si="58"/>
        <v>0</v>
      </c>
      <c r="V125" s="522">
        <f t="shared" si="58"/>
        <v>0</v>
      </c>
      <c r="W125" s="523">
        <f t="shared" si="58"/>
        <v>0</v>
      </c>
      <c r="X125" s="510"/>
    </row>
    <row r="126" spans="1:24" x14ac:dyDescent="0.2">
      <c r="A126" s="511" t="s">
        <v>1477</v>
      </c>
      <c r="B126" s="512" t="s">
        <v>424</v>
      </c>
      <c r="C126" s="512" t="s">
        <v>1528</v>
      </c>
      <c r="D126" s="512" t="s">
        <v>1529</v>
      </c>
      <c r="E126" s="512" t="s">
        <v>287</v>
      </c>
      <c r="F126" s="513" t="s">
        <v>465</v>
      </c>
      <c r="G126" s="556"/>
      <c r="H126" s="528">
        <v>27</v>
      </c>
      <c r="I126" s="516">
        <v>27</v>
      </c>
      <c r="J126" s="516"/>
      <c r="K126" s="516"/>
      <c r="L126" s="517"/>
      <c r="M126" s="518"/>
      <c r="N126" s="519"/>
      <c r="O126" s="519"/>
      <c r="P126" s="519"/>
      <c r="Q126" s="519"/>
      <c r="R126" s="520"/>
      <c r="S126" s="521">
        <f t="shared" si="58"/>
        <v>27</v>
      </c>
      <c r="T126" s="522">
        <f t="shared" si="58"/>
        <v>27</v>
      </c>
      <c r="U126" s="522">
        <f t="shared" si="58"/>
        <v>0</v>
      </c>
      <c r="V126" s="522">
        <f t="shared" si="58"/>
        <v>0</v>
      </c>
      <c r="W126" s="523">
        <f t="shared" si="58"/>
        <v>0</v>
      </c>
      <c r="X126" s="510"/>
    </row>
    <row r="127" spans="1:24" x14ac:dyDescent="0.2">
      <c r="A127" s="524" t="s">
        <v>1477</v>
      </c>
      <c r="B127" s="525" t="s">
        <v>424</v>
      </c>
      <c r="C127" s="525" t="s">
        <v>1528</v>
      </c>
      <c r="D127" s="525" t="s">
        <v>1530</v>
      </c>
      <c r="E127" s="525" t="s">
        <v>910</v>
      </c>
      <c r="F127" s="526" t="s">
        <v>465</v>
      </c>
      <c r="G127" s="550"/>
      <c r="H127" s="528"/>
      <c r="I127" s="516"/>
      <c r="J127" s="516"/>
      <c r="K127" s="516"/>
      <c r="L127" s="517"/>
      <c r="M127" s="518"/>
      <c r="N127" s="519"/>
      <c r="O127" s="519"/>
      <c r="P127" s="519"/>
      <c r="Q127" s="519"/>
      <c r="R127" s="520"/>
      <c r="S127" s="521">
        <f t="shared" ref="S127:W138" si="68">H127-M127</f>
        <v>0</v>
      </c>
      <c r="T127" s="522">
        <f t="shared" si="68"/>
        <v>0</v>
      </c>
      <c r="U127" s="522">
        <f t="shared" si="68"/>
        <v>0</v>
      </c>
      <c r="V127" s="522">
        <f t="shared" si="68"/>
        <v>0</v>
      </c>
      <c r="W127" s="523">
        <f t="shared" si="68"/>
        <v>0</v>
      </c>
      <c r="X127" s="510"/>
    </row>
    <row r="128" spans="1:24" x14ac:dyDescent="0.2">
      <c r="A128" s="511" t="s">
        <v>1477</v>
      </c>
      <c r="B128" s="512" t="s">
        <v>424</v>
      </c>
      <c r="C128" s="512" t="s">
        <v>1528</v>
      </c>
      <c r="D128" s="512" t="s">
        <v>1531</v>
      </c>
      <c r="E128" s="512" t="s">
        <v>914</v>
      </c>
      <c r="F128" s="513" t="s">
        <v>465</v>
      </c>
      <c r="G128" s="530"/>
      <c r="H128" s="528">
        <v>47</v>
      </c>
      <c r="I128" s="516">
        <v>47</v>
      </c>
      <c r="J128" s="516"/>
      <c r="K128" s="516"/>
      <c r="L128" s="517"/>
      <c r="M128" s="518"/>
      <c r="N128" s="519"/>
      <c r="O128" s="519"/>
      <c r="P128" s="519"/>
      <c r="Q128" s="519"/>
      <c r="R128" s="520"/>
      <c r="S128" s="521">
        <f t="shared" si="68"/>
        <v>47</v>
      </c>
      <c r="T128" s="522">
        <f t="shared" si="68"/>
        <v>47</v>
      </c>
      <c r="U128" s="522">
        <f t="shared" si="68"/>
        <v>0</v>
      </c>
      <c r="V128" s="522">
        <f t="shared" si="68"/>
        <v>0</v>
      </c>
      <c r="W128" s="523">
        <f t="shared" si="68"/>
        <v>0</v>
      </c>
      <c r="X128" s="510"/>
    </row>
    <row r="129" spans="1:24" x14ac:dyDescent="0.2">
      <c r="A129" s="524" t="s">
        <v>1477</v>
      </c>
      <c r="B129" s="525" t="s">
        <v>1483</v>
      </c>
      <c r="C129" s="525" t="s">
        <v>1528</v>
      </c>
      <c r="D129" s="525" t="s">
        <v>1532</v>
      </c>
      <c r="E129" s="525" t="s">
        <v>294</v>
      </c>
      <c r="F129" s="526" t="s">
        <v>465</v>
      </c>
      <c r="G129" s="550"/>
      <c r="H129" s="528">
        <v>23</v>
      </c>
      <c r="I129" s="516"/>
      <c r="J129" s="516"/>
      <c r="K129" s="516">
        <v>20</v>
      </c>
      <c r="L129" s="517">
        <v>1</v>
      </c>
      <c r="M129" s="519">
        <v>23</v>
      </c>
      <c r="N129" s="519"/>
      <c r="O129" s="519"/>
      <c r="P129" s="519"/>
      <c r="Q129" s="519"/>
      <c r="R129" s="520" t="s">
        <v>1765</v>
      </c>
      <c r="S129" s="521">
        <f>H129-M129</f>
        <v>0</v>
      </c>
      <c r="T129" s="522">
        <f t="shared" si="68"/>
        <v>0</v>
      </c>
      <c r="U129" s="522">
        <f t="shared" si="68"/>
        <v>0</v>
      </c>
      <c r="V129" s="522">
        <f>K129-P129</f>
        <v>20</v>
      </c>
      <c r="W129" s="523">
        <f t="shared" si="68"/>
        <v>1</v>
      </c>
      <c r="X129" s="510" t="s">
        <v>1533</v>
      </c>
    </row>
    <row r="130" spans="1:24" ht="14.45" customHeight="1" x14ac:dyDescent="0.2">
      <c r="A130" s="537" t="s">
        <v>3</v>
      </c>
      <c r="B130" s="538"/>
      <c r="C130" s="538"/>
      <c r="D130" s="539"/>
      <c r="E130" s="540"/>
      <c r="F130" s="541"/>
      <c r="G130" s="542"/>
      <c r="H130" s="543">
        <f>SUM(H125:H129)</f>
        <v>99</v>
      </c>
      <c r="I130" s="543">
        <f t="shared" ref="I130:L130" si="69">SUM(I125:I129)</f>
        <v>76</v>
      </c>
      <c r="J130" s="543">
        <f t="shared" si="69"/>
        <v>0</v>
      </c>
      <c r="K130" s="543">
        <f t="shared" si="69"/>
        <v>20</v>
      </c>
      <c r="L130" s="543">
        <f t="shared" si="69"/>
        <v>1</v>
      </c>
      <c r="M130" s="543">
        <f>SUM(M125:M129)</f>
        <v>23</v>
      </c>
      <c r="N130" s="543">
        <f t="shared" ref="N130:Q130" si="70">SUM(N125:N129)</f>
        <v>0</v>
      </c>
      <c r="O130" s="543">
        <f t="shared" si="70"/>
        <v>0</v>
      </c>
      <c r="P130" s="543">
        <f t="shared" si="70"/>
        <v>0</v>
      </c>
      <c r="Q130" s="543">
        <f t="shared" si="70"/>
        <v>0</v>
      </c>
      <c r="R130" s="545"/>
      <c r="S130" s="543">
        <f>SUMIF($S125:$S$129,"&gt;0")</f>
        <v>76</v>
      </c>
      <c r="T130" s="540">
        <f>SUMIF($T125:$T$129,"&gt;0")</f>
        <v>76</v>
      </c>
      <c r="U130" s="540">
        <f>SUMIF($U125:$U$129,"&gt;0")</f>
        <v>0</v>
      </c>
      <c r="V130" s="540">
        <f>SUMIF($V125:$V$129,"&gt;0")</f>
        <v>20</v>
      </c>
      <c r="W130" s="544">
        <f>SUMIF($W125:$W$129,"&gt;0")</f>
        <v>1</v>
      </c>
      <c r="X130" s="510"/>
    </row>
    <row r="131" spans="1:24" x14ac:dyDescent="0.2">
      <c r="A131" s="524" t="s">
        <v>1477</v>
      </c>
      <c r="B131" s="525" t="s">
        <v>1503</v>
      </c>
      <c r="C131" s="525" t="s">
        <v>297</v>
      </c>
      <c r="D131" s="525" t="s">
        <v>1534</v>
      </c>
      <c r="E131" s="525"/>
      <c r="F131" s="526"/>
      <c r="G131" s="550"/>
      <c r="H131" s="528"/>
      <c r="I131" s="516"/>
      <c r="J131" s="516"/>
      <c r="K131" s="516"/>
      <c r="L131" s="517"/>
      <c r="M131" s="518"/>
      <c r="N131" s="519"/>
      <c r="O131" s="519"/>
      <c r="P131" s="519"/>
      <c r="Q131" s="519"/>
      <c r="R131" s="520"/>
      <c r="S131" s="521">
        <f t="shared" si="68"/>
        <v>0</v>
      </c>
      <c r="T131" s="522">
        <f t="shared" si="68"/>
        <v>0</v>
      </c>
      <c r="U131" s="522">
        <f t="shared" si="68"/>
        <v>0</v>
      </c>
      <c r="V131" s="522"/>
      <c r="W131" s="523"/>
      <c r="X131" s="510"/>
    </row>
    <row r="132" spans="1:24" x14ac:dyDescent="0.2">
      <c r="A132" s="511" t="s">
        <v>1477</v>
      </c>
      <c r="B132" s="512" t="s">
        <v>1503</v>
      </c>
      <c r="C132" s="512" t="s">
        <v>297</v>
      </c>
      <c r="D132" s="512" t="s">
        <v>1166</v>
      </c>
      <c r="E132" s="512" t="s">
        <v>1481</v>
      </c>
      <c r="F132" s="513" t="s">
        <v>465</v>
      </c>
      <c r="G132" s="568" t="s">
        <v>1459</v>
      </c>
      <c r="H132" s="528">
        <v>20</v>
      </c>
      <c r="I132" s="516">
        <v>20</v>
      </c>
      <c r="J132" s="516"/>
      <c r="K132" s="516"/>
      <c r="L132" s="517"/>
      <c r="M132" s="518"/>
      <c r="N132" s="519"/>
      <c r="O132" s="519"/>
      <c r="P132" s="519"/>
      <c r="Q132" s="519"/>
      <c r="R132" s="520"/>
      <c r="S132" s="521">
        <f t="shared" si="68"/>
        <v>20</v>
      </c>
      <c r="T132" s="522">
        <f t="shared" si="68"/>
        <v>20</v>
      </c>
      <c r="U132" s="522">
        <f t="shared" si="68"/>
        <v>0</v>
      </c>
      <c r="V132" s="522"/>
      <c r="W132" s="523"/>
      <c r="X132" s="510" t="s">
        <v>1482</v>
      </c>
    </row>
    <row r="133" spans="1:24" x14ac:dyDescent="0.2">
      <c r="A133" s="524" t="s">
        <v>1477</v>
      </c>
      <c r="B133" s="525" t="s">
        <v>1503</v>
      </c>
      <c r="C133" s="525" t="s">
        <v>297</v>
      </c>
      <c r="D133" s="525" t="s">
        <v>1218</v>
      </c>
      <c r="E133" s="525"/>
      <c r="F133" s="526"/>
      <c r="G133" s="550"/>
      <c r="H133" s="528"/>
      <c r="I133" s="516"/>
      <c r="J133" s="516"/>
      <c r="K133" s="516"/>
      <c r="L133" s="517"/>
      <c r="M133" s="518"/>
      <c r="N133" s="519"/>
      <c r="O133" s="519"/>
      <c r="P133" s="519"/>
      <c r="Q133" s="519"/>
      <c r="R133" s="520"/>
      <c r="S133" s="521">
        <f t="shared" si="68"/>
        <v>0</v>
      </c>
      <c r="T133" s="522">
        <f t="shared" si="68"/>
        <v>0</v>
      </c>
      <c r="U133" s="522">
        <f t="shared" si="68"/>
        <v>0</v>
      </c>
      <c r="V133" s="522"/>
      <c r="W133" s="523"/>
      <c r="X133" s="510"/>
    </row>
    <row r="134" spans="1:24" x14ac:dyDescent="0.2">
      <c r="A134" s="511" t="s">
        <v>1477</v>
      </c>
      <c r="B134" s="512" t="s">
        <v>1503</v>
      </c>
      <c r="C134" s="512" t="s">
        <v>297</v>
      </c>
      <c r="D134" s="512" t="s">
        <v>1220</v>
      </c>
      <c r="E134" s="512"/>
      <c r="F134" s="513"/>
      <c r="G134" s="568"/>
      <c r="H134" s="528"/>
      <c r="I134" s="516"/>
      <c r="J134" s="516"/>
      <c r="K134" s="516"/>
      <c r="L134" s="517"/>
      <c r="M134" s="518"/>
      <c r="N134" s="519"/>
      <c r="O134" s="519"/>
      <c r="P134" s="519"/>
      <c r="Q134" s="519"/>
      <c r="R134" s="520"/>
      <c r="S134" s="521">
        <f t="shared" si="68"/>
        <v>0</v>
      </c>
      <c r="T134" s="522">
        <f t="shared" si="68"/>
        <v>0</v>
      </c>
      <c r="U134" s="522">
        <f t="shared" si="68"/>
        <v>0</v>
      </c>
      <c r="V134" s="522"/>
      <c r="W134" s="523"/>
      <c r="X134" s="510"/>
    </row>
    <row r="135" spans="1:24" x14ac:dyDescent="0.2">
      <c r="A135" s="524" t="s">
        <v>1477</v>
      </c>
      <c r="B135" s="525" t="s">
        <v>1503</v>
      </c>
      <c r="C135" s="525" t="s">
        <v>297</v>
      </c>
      <c r="D135" s="525" t="s">
        <v>1219</v>
      </c>
      <c r="E135" s="525"/>
      <c r="F135" s="526"/>
      <c r="G135" s="550"/>
      <c r="H135" s="528"/>
      <c r="I135" s="516"/>
      <c r="J135" s="516"/>
      <c r="K135" s="516"/>
      <c r="L135" s="517"/>
      <c r="M135" s="518"/>
      <c r="N135" s="519"/>
      <c r="O135" s="519"/>
      <c r="P135" s="519"/>
      <c r="Q135" s="519"/>
      <c r="R135" s="520"/>
      <c r="S135" s="521">
        <f t="shared" si="68"/>
        <v>0</v>
      </c>
      <c r="T135" s="522">
        <f t="shared" si="68"/>
        <v>0</v>
      </c>
      <c r="U135" s="522">
        <f t="shared" si="68"/>
        <v>0</v>
      </c>
      <c r="V135" s="522"/>
      <c r="W135" s="523"/>
      <c r="X135" s="510"/>
    </row>
    <row r="136" spans="1:24" x14ac:dyDescent="0.2">
      <c r="A136" s="511" t="s">
        <v>1477</v>
      </c>
      <c r="B136" s="512" t="s">
        <v>1503</v>
      </c>
      <c r="C136" s="512" t="s">
        <v>297</v>
      </c>
      <c r="D136" s="512" t="s">
        <v>535</v>
      </c>
      <c r="E136" s="512"/>
      <c r="F136" s="513"/>
      <c r="G136" s="568"/>
      <c r="H136" s="528"/>
      <c r="I136" s="516"/>
      <c r="J136" s="516"/>
      <c r="K136" s="516"/>
      <c r="L136" s="517"/>
      <c r="M136" s="518"/>
      <c r="N136" s="519"/>
      <c r="O136" s="519"/>
      <c r="P136" s="519"/>
      <c r="Q136" s="519"/>
      <c r="R136" s="520"/>
      <c r="S136" s="521">
        <f t="shared" si="68"/>
        <v>0</v>
      </c>
      <c r="T136" s="522">
        <f t="shared" si="68"/>
        <v>0</v>
      </c>
      <c r="U136" s="522">
        <f t="shared" si="68"/>
        <v>0</v>
      </c>
      <c r="V136" s="522"/>
      <c r="W136" s="523"/>
      <c r="X136" s="510"/>
    </row>
    <row r="137" spans="1:24" x14ac:dyDescent="0.2">
      <c r="A137" s="524" t="s">
        <v>1477</v>
      </c>
      <c r="B137" s="525" t="s">
        <v>1483</v>
      </c>
      <c r="C137" s="525" t="s">
        <v>297</v>
      </c>
      <c r="D137" s="525" t="s">
        <v>1221</v>
      </c>
      <c r="E137" s="525"/>
      <c r="F137" s="526" t="s">
        <v>465</v>
      </c>
      <c r="G137" s="550" t="s">
        <v>1459</v>
      </c>
      <c r="H137" s="528">
        <v>25</v>
      </c>
      <c r="I137" s="516">
        <v>0</v>
      </c>
      <c r="J137" s="516"/>
      <c r="K137" s="516"/>
      <c r="L137" s="517">
        <v>1</v>
      </c>
      <c r="M137" s="518">
        <v>25</v>
      </c>
      <c r="N137" s="519"/>
      <c r="O137" s="519"/>
      <c r="P137" s="519"/>
      <c r="Q137" s="519"/>
      <c r="R137" s="520" t="s">
        <v>1750</v>
      </c>
      <c r="S137" s="521">
        <f t="shared" si="68"/>
        <v>0</v>
      </c>
      <c r="T137" s="522">
        <f t="shared" si="68"/>
        <v>0</v>
      </c>
      <c r="U137" s="522">
        <f t="shared" si="68"/>
        <v>0</v>
      </c>
      <c r="V137" s="522"/>
      <c r="W137" s="523"/>
      <c r="X137" s="510" t="s">
        <v>1730</v>
      </c>
    </row>
    <row r="138" spans="1:24" x14ac:dyDescent="0.2">
      <c r="A138" s="511" t="s">
        <v>1477</v>
      </c>
      <c r="B138" s="512" t="s">
        <v>424</v>
      </c>
      <c r="C138" s="512" t="s">
        <v>297</v>
      </c>
      <c r="D138" s="512" t="s">
        <v>761</v>
      </c>
      <c r="E138" s="512" t="s">
        <v>296</v>
      </c>
      <c r="F138" s="513" t="s">
        <v>465</v>
      </c>
      <c r="G138" s="568"/>
      <c r="H138" s="528">
        <v>36</v>
      </c>
      <c r="I138" s="516">
        <v>36</v>
      </c>
      <c r="J138" s="516"/>
      <c r="K138" s="516">
        <v>10</v>
      </c>
      <c r="L138" s="517"/>
      <c r="M138" s="518"/>
      <c r="N138" s="519"/>
      <c r="O138" s="519"/>
      <c r="P138" s="519"/>
      <c r="Q138" s="519" t="s">
        <v>542</v>
      </c>
      <c r="R138" s="520"/>
      <c r="S138" s="521">
        <f t="shared" si="68"/>
        <v>36</v>
      </c>
      <c r="T138" s="522">
        <f t="shared" si="68"/>
        <v>36</v>
      </c>
      <c r="U138" s="522">
        <f t="shared" si="68"/>
        <v>0</v>
      </c>
      <c r="V138" s="522">
        <f t="shared" si="68"/>
        <v>10</v>
      </c>
      <c r="W138" s="523" t="e">
        <f t="shared" si="68"/>
        <v>#VALUE!</v>
      </c>
      <c r="X138" s="510" t="s">
        <v>1482</v>
      </c>
    </row>
    <row r="139" spans="1:24" ht="12.75" x14ac:dyDescent="0.2">
      <c r="A139" s="524" t="s">
        <v>1477</v>
      </c>
      <c r="B139" s="525" t="s">
        <v>1483</v>
      </c>
      <c r="C139" s="525" t="s">
        <v>297</v>
      </c>
      <c r="D139" s="525" t="s">
        <v>1717</v>
      </c>
      <c r="E139" s="797" t="s">
        <v>1424</v>
      </c>
      <c r="F139" s="526" t="s">
        <v>465</v>
      </c>
      <c r="G139" s="550" t="s">
        <v>1459</v>
      </c>
      <c r="H139" s="528"/>
      <c r="I139" s="795"/>
      <c r="J139" s="795"/>
      <c r="K139" s="795"/>
      <c r="L139" s="796"/>
      <c r="M139" s="518"/>
      <c r="N139" s="578"/>
      <c r="O139" s="578"/>
      <c r="P139" s="578"/>
      <c r="Q139" s="578"/>
      <c r="R139" s="520"/>
      <c r="S139" s="521"/>
      <c r="T139" s="522"/>
      <c r="U139" s="522"/>
      <c r="V139" s="522"/>
      <c r="W139" s="523"/>
      <c r="X139" s="510"/>
    </row>
    <row r="140" spans="1:24" ht="14.45" customHeight="1" x14ac:dyDescent="0.2">
      <c r="A140" s="537" t="s">
        <v>3</v>
      </c>
      <c r="B140" s="538"/>
      <c r="C140" s="538"/>
      <c r="D140" s="539"/>
      <c r="E140" s="540"/>
      <c r="F140" s="541"/>
      <c r="G140" s="542"/>
      <c r="H140" s="543">
        <f>SUM(H131:H139)</f>
        <v>81</v>
      </c>
      <c r="I140" s="543">
        <f t="shared" ref="I140:L140" si="71">SUM(I131:I139)</f>
        <v>56</v>
      </c>
      <c r="J140" s="543">
        <f t="shared" si="71"/>
        <v>0</v>
      </c>
      <c r="K140" s="543">
        <f t="shared" si="71"/>
        <v>10</v>
      </c>
      <c r="L140" s="543">
        <f t="shared" si="71"/>
        <v>1</v>
      </c>
      <c r="M140" s="543">
        <f t="shared" ref="M140:Q140" si="72">SUM(M131:M138)</f>
        <v>25</v>
      </c>
      <c r="N140" s="543">
        <f t="shared" si="72"/>
        <v>0</v>
      </c>
      <c r="O140" s="543">
        <f t="shared" si="72"/>
        <v>0</v>
      </c>
      <c r="P140" s="543">
        <f t="shared" si="72"/>
        <v>0</v>
      </c>
      <c r="Q140" s="543">
        <f t="shared" si="72"/>
        <v>0</v>
      </c>
      <c r="R140" s="545"/>
      <c r="S140" s="543">
        <f>SUMIF($S131:$S$138,"&gt;0")</f>
        <v>56</v>
      </c>
      <c r="T140" s="540">
        <f>SUMIF($T131:$T$138,"&gt;0")</f>
        <v>56</v>
      </c>
      <c r="U140" s="540">
        <f>SUMIF($U131:$U$138,"&gt;0")</f>
        <v>0</v>
      </c>
      <c r="V140" s="540">
        <f>SUMIF($V131:$V$138,"&gt;0")</f>
        <v>10</v>
      </c>
      <c r="W140" s="544">
        <f>SUMIF($W131:$W$138,"&gt;0")</f>
        <v>0</v>
      </c>
      <c r="X140" s="510"/>
    </row>
    <row r="141" spans="1:24" x14ac:dyDescent="0.2">
      <c r="A141" s="524" t="s">
        <v>378</v>
      </c>
      <c r="B141" s="525" t="s">
        <v>424</v>
      </c>
      <c r="C141" s="525" t="s">
        <v>299</v>
      </c>
      <c r="D141" s="525" t="s">
        <v>299</v>
      </c>
      <c r="E141" s="525"/>
      <c r="F141" s="526" t="s">
        <v>465</v>
      </c>
      <c r="G141" s="550"/>
      <c r="H141" s="528"/>
      <c r="I141" s="516"/>
      <c r="J141" s="516"/>
      <c r="K141" s="516"/>
      <c r="L141" s="517"/>
      <c r="M141" s="518"/>
      <c r="N141" s="519"/>
      <c r="O141" s="519"/>
      <c r="P141" s="519"/>
      <c r="Q141" s="519"/>
      <c r="R141" s="520"/>
      <c r="S141" s="521">
        <f>H141-M141</f>
        <v>0</v>
      </c>
      <c r="T141" s="521">
        <f t="shared" ref="T141" si="73">I141-N141</f>
        <v>0</v>
      </c>
      <c r="U141" s="521">
        <f t="shared" ref="U141" si="74">J141-O141</f>
        <v>0</v>
      </c>
      <c r="V141" s="521">
        <f t="shared" ref="V141" si="75">K141-P141</f>
        <v>0</v>
      </c>
      <c r="W141" s="521">
        <f t="shared" ref="W141" si="76">L141-Q141</f>
        <v>0</v>
      </c>
      <c r="X141" s="510"/>
    </row>
    <row r="142" spans="1:24" ht="14.45" customHeight="1" x14ac:dyDescent="0.2">
      <c r="A142" s="537" t="s">
        <v>3</v>
      </c>
      <c r="B142" s="538"/>
      <c r="C142" s="538"/>
      <c r="D142" s="539"/>
      <c r="E142" s="540"/>
      <c r="F142" s="541"/>
      <c r="G142" s="542"/>
      <c r="H142" s="543">
        <f>SUM(H141)</f>
        <v>0</v>
      </c>
      <c r="I142" s="543">
        <f t="shared" ref="I142:L142" si="77">SUM(I141)</f>
        <v>0</v>
      </c>
      <c r="J142" s="543">
        <f t="shared" si="77"/>
        <v>0</v>
      </c>
      <c r="K142" s="543">
        <f t="shared" si="77"/>
        <v>0</v>
      </c>
      <c r="L142" s="543">
        <f t="shared" si="77"/>
        <v>0</v>
      </c>
      <c r="M142" s="543">
        <f t="shared" ref="M142:Q142" si="78">SUM(M141)</f>
        <v>0</v>
      </c>
      <c r="N142" s="543">
        <f t="shared" si="78"/>
        <v>0</v>
      </c>
      <c r="O142" s="543">
        <f t="shared" si="78"/>
        <v>0</v>
      </c>
      <c r="P142" s="543">
        <f t="shared" si="78"/>
        <v>0</v>
      </c>
      <c r="Q142" s="543">
        <f t="shared" si="78"/>
        <v>0</v>
      </c>
      <c r="R142" s="545"/>
      <c r="S142" s="543">
        <f>SUM(S141)</f>
        <v>0</v>
      </c>
      <c r="T142" s="540">
        <f>SUM(T141)</f>
        <v>0</v>
      </c>
      <c r="U142" s="540">
        <f>SUM(U141)</f>
        <v>0</v>
      </c>
      <c r="V142" s="540">
        <f>SUM(V141)</f>
        <v>0</v>
      </c>
      <c r="W142" s="544">
        <f>SUM(W141)</f>
        <v>0</v>
      </c>
      <c r="X142" s="510"/>
    </row>
    <row r="143" spans="1:24" x14ac:dyDescent="0.2">
      <c r="A143" s="524" t="s">
        <v>378</v>
      </c>
      <c r="B143" s="525" t="s">
        <v>424</v>
      </c>
      <c r="C143" s="525" t="s">
        <v>1535</v>
      </c>
      <c r="D143" s="525" t="s">
        <v>305</v>
      </c>
      <c r="E143" s="525" t="s">
        <v>304</v>
      </c>
      <c r="F143" s="526" t="s">
        <v>465</v>
      </c>
      <c r="G143" s="550"/>
      <c r="H143" s="528">
        <v>37</v>
      </c>
      <c r="I143" s="516">
        <v>37</v>
      </c>
      <c r="J143" s="516"/>
      <c r="K143" s="516"/>
      <c r="L143" s="517"/>
      <c r="M143" s="518"/>
      <c r="N143" s="519"/>
      <c r="O143" s="519"/>
      <c r="P143" s="519"/>
      <c r="Q143" s="519"/>
      <c r="R143" s="520"/>
      <c r="S143" s="521">
        <f t="shared" ref="S143:S144" si="79">H143-M143</f>
        <v>37</v>
      </c>
      <c r="T143" s="521">
        <f t="shared" ref="T143:T144" si="80">I143-N143</f>
        <v>37</v>
      </c>
      <c r="U143" s="521">
        <f t="shared" ref="U143:U144" si="81">J143-O143</f>
        <v>0</v>
      </c>
      <c r="V143" s="521">
        <f t="shared" ref="V143:V144" si="82">K143-P143</f>
        <v>0</v>
      </c>
      <c r="W143" s="521">
        <f t="shared" ref="W143:W144" si="83">L143-Q143</f>
        <v>0</v>
      </c>
      <c r="X143" s="510"/>
    </row>
    <row r="144" spans="1:24" x14ac:dyDescent="0.2">
      <c r="A144" s="511" t="s">
        <v>378</v>
      </c>
      <c r="B144" s="512" t="s">
        <v>1454</v>
      </c>
      <c r="C144" s="512" t="s">
        <v>1535</v>
      </c>
      <c r="D144" s="512" t="s">
        <v>307</v>
      </c>
      <c r="E144" s="512" t="s">
        <v>306</v>
      </c>
      <c r="F144" s="513" t="s">
        <v>465</v>
      </c>
      <c r="G144" s="585"/>
      <c r="H144" s="528"/>
      <c r="I144" s="516"/>
      <c r="J144" s="516"/>
      <c r="K144" s="516"/>
      <c r="L144" s="517"/>
      <c r="M144" s="518"/>
      <c r="N144" s="519"/>
      <c r="O144" s="519"/>
      <c r="P144" s="519"/>
      <c r="Q144" s="519"/>
      <c r="R144" s="520"/>
      <c r="S144" s="521">
        <f t="shared" si="79"/>
        <v>0</v>
      </c>
      <c r="T144" s="521">
        <f t="shared" si="80"/>
        <v>0</v>
      </c>
      <c r="U144" s="521">
        <f t="shared" si="81"/>
        <v>0</v>
      </c>
      <c r="V144" s="521">
        <f t="shared" si="82"/>
        <v>0</v>
      </c>
      <c r="W144" s="521">
        <f t="shared" si="83"/>
        <v>0</v>
      </c>
      <c r="X144" s="510"/>
    </row>
    <row r="145" spans="1:24" ht="14.45" customHeight="1" x14ac:dyDescent="0.2">
      <c r="A145" s="537" t="s">
        <v>3</v>
      </c>
      <c r="B145" s="538"/>
      <c r="C145" s="538"/>
      <c r="D145" s="539"/>
      <c r="E145" s="540"/>
      <c r="F145" s="541"/>
      <c r="G145" s="542"/>
      <c r="H145" s="543">
        <f>SUM(H143:H144)</f>
        <v>37</v>
      </c>
      <c r="I145" s="543">
        <f t="shared" ref="I145:L145" si="84">SUM(I143:I144)</f>
        <v>37</v>
      </c>
      <c r="J145" s="543">
        <f t="shared" si="84"/>
        <v>0</v>
      </c>
      <c r="K145" s="543">
        <f t="shared" si="84"/>
        <v>0</v>
      </c>
      <c r="L145" s="543">
        <f t="shared" si="84"/>
        <v>0</v>
      </c>
      <c r="M145" s="543">
        <f t="shared" ref="M145:Q145" si="85">SUM(M143:M144)</f>
        <v>0</v>
      </c>
      <c r="N145" s="543">
        <f t="shared" si="85"/>
        <v>0</v>
      </c>
      <c r="O145" s="543">
        <f t="shared" si="85"/>
        <v>0</v>
      </c>
      <c r="P145" s="543">
        <f t="shared" si="85"/>
        <v>0</v>
      </c>
      <c r="Q145" s="543">
        <f t="shared" si="85"/>
        <v>0</v>
      </c>
      <c r="R145" s="545"/>
      <c r="S145" s="543">
        <f>SUM(S143:S144)</f>
        <v>37</v>
      </c>
      <c r="T145" s="540">
        <f>SUM(T143:T144)</f>
        <v>37</v>
      </c>
      <c r="U145" s="540">
        <f>SUM(U143:U144)</f>
        <v>0</v>
      </c>
      <c r="V145" s="540">
        <f>SUM(V143:V144)</f>
        <v>0</v>
      </c>
      <c r="W145" s="544">
        <f>SUM(W143:W144)</f>
        <v>0</v>
      </c>
      <c r="X145" s="510"/>
    </row>
    <row r="146" spans="1:24" x14ac:dyDescent="0.2">
      <c r="A146" s="524" t="s">
        <v>378</v>
      </c>
      <c r="B146" s="525" t="s">
        <v>424</v>
      </c>
      <c r="C146" s="525" t="s">
        <v>1536</v>
      </c>
      <c r="D146" s="525" t="s">
        <v>1086</v>
      </c>
      <c r="E146" s="525"/>
      <c r="F146" s="526"/>
      <c r="G146" s="550" t="s">
        <v>1459</v>
      </c>
      <c r="H146" s="528">
        <v>73</v>
      </c>
      <c r="I146" s="516">
        <v>73</v>
      </c>
      <c r="J146" s="516"/>
      <c r="K146" s="516"/>
      <c r="L146" s="517"/>
      <c r="M146" s="518"/>
      <c r="N146" s="519"/>
      <c r="O146" s="519"/>
      <c r="P146" s="519"/>
      <c r="Q146" s="519"/>
      <c r="R146" s="520"/>
      <c r="S146" s="521">
        <f t="shared" ref="S146:S147" si="86">H146-M146</f>
        <v>73</v>
      </c>
      <c r="T146" s="521">
        <f t="shared" ref="T146:T147" si="87">I146-N146</f>
        <v>73</v>
      </c>
      <c r="U146" s="521">
        <f t="shared" ref="U146:U147" si="88">J146-O146</f>
        <v>0</v>
      </c>
      <c r="V146" s="521">
        <f t="shared" ref="V146:V147" si="89">K146-P146</f>
        <v>0</v>
      </c>
      <c r="W146" s="521">
        <f t="shared" ref="W146:W147" si="90">L146-Q146</f>
        <v>0</v>
      </c>
      <c r="X146" s="510"/>
    </row>
    <row r="147" spans="1:24" x14ac:dyDescent="0.2">
      <c r="A147" s="511" t="s">
        <v>378</v>
      </c>
      <c r="B147" s="512" t="s">
        <v>424</v>
      </c>
      <c r="C147" s="586" t="s">
        <v>1536</v>
      </c>
      <c r="D147" s="586" t="s">
        <v>1084</v>
      </c>
      <c r="E147" s="586"/>
      <c r="F147" s="587"/>
      <c r="G147" s="588" t="s">
        <v>1459</v>
      </c>
      <c r="H147" s="528">
        <v>68</v>
      </c>
      <c r="I147" s="516">
        <v>68</v>
      </c>
      <c r="J147" s="516"/>
      <c r="K147" s="516"/>
      <c r="L147" s="517"/>
      <c r="M147" s="518"/>
      <c r="N147" s="519"/>
      <c r="O147" s="519"/>
      <c r="P147" s="519"/>
      <c r="Q147" s="519"/>
      <c r="R147" s="520"/>
      <c r="S147" s="521">
        <f t="shared" si="86"/>
        <v>68</v>
      </c>
      <c r="T147" s="521">
        <f t="shared" si="87"/>
        <v>68</v>
      </c>
      <c r="U147" s="521">
        <f t="shared" si="88"/>
        <v>0</v>
      </c>
      <c r="V147" s="521">
        <f t="shared" si="89"/>
        <v>0</v>
      </c>
      <c r="W147" s="521">
        <f t="shared" si="90"/>
        <v>0</v>
      </c>
      <c r="X147" s="510"/>
    </row>
    <row r="148" spans="1:24" ht="14.45" customHeight="1" x14ac:dyDescent="0.2">
      <c r="A148" s="537" t="s">
        <v>3</v>
      </c>
      <c r="B148" s="538"/>
      <c r="C148" s="538"/>
      <c r="D148" s="539"/>
      <c r="E148" s="540"/>
      <c r="F148" s="541"/>
      <c r="G148" s="542"/>
      <c r="H148" s="543">
        <f>SUM(H146:H147)</f>
        <v>141</v>
      </c>
      <c r="I148" s="543">
        <f t="shared" ref="I148:L148" si="91">SUM(I146:I147)</f>
        <v>141</v>
      </c>
      <c r="J148" s="543">
        <f t="shared" si="91"/>
        <v>0</v>
      </c>
      <c r="K148" s="543">
        <f t="shared" si="91"/>
        <v>0</v>
      </c>
      <c r="L148" s="543">
        <f t="shared" si="91"/>
        <v>0</v>
      </c>
      <c r="M148" s="543"/>
      <c r="N148" s="540"/>
      <c r="O148" s="540"/>
      <c r="P148" s="540"/>
      <c r="Q148" s="540"/>
      <c r="R148" s="545"/>
      <c r="S148" s="543">
        <f>SUM(S146:S147)</f>
        <v>141</v>
      </c>
      <c r="T148" s="540">
        <f>SUM(T146:T147)</f>
        <v>141</v>
      </c>
      <c r="U148" s="540">
        <f>SUM(U146:U147)</f>
        <v>0</v>
      </c>
      <c r="V148" s="540">
        <f>SUM(V146:V147)</f>
        <v>0</v>
      </c>
      <c r="W148" s="544">
        <f>SUM(W146:W147)</f>
        <v>0</v>
      </c>
      <c r="X148" s="510"/>
    </row>
    <row r="149" spans="1:24" x14ac:dyDescent="0.2">
      <c r="A149" s="524" t="s">
        <v>378</v>
      </c>
      <c r="B149" s="525" t="s">
        <v>1462</v>
      </c>
      <c r="C149" s="525" t="s">
        <v>309</v>
      </c>
      <c r="D149" s="525" t="s">
        <v>1537</v>
      </c>
      <c r="E149" s="525" t="s">
        <v>332</v>
      </c>
      <c r="F149" s="526" t="s">
        <v>467</v>
      </c>
      <c r="G149" s="550" t="s">
        <v>1459</v>
      </c>
      <c r="H149" s="528">
        <v>60</v>
      </c>
      <c r="I149" s="516">
        <v>60</v>
      </c>
      <c r="J149" s="516"/>
      <c r="K149" s="516"/>
      <c r="L149" s="517">
        <v>1</v>
      </c>
      <c r="M149" s="518">
        <v>25</v>
      </c>
      <c r="N149" s="519">
        <v>25</v>
      </c>
      <c r="O149" s="519"/>
      <c r="P149" s="519"/>
      <c r="Q149" s="519"/>
      <c r="R149" s="520" t="s">
        <v>1462</v>
      </c>
      <c r="S149" s="521">
        <f t="shared" ref="S149:S170" si="92">H149-M149</f>
        <v>35</v>
      </c>
      <c r="T149" s="521">
        <f t="shared" ref="T149:T170" si="93">I149-N149</f>
        <v>35</v>
      </c>
      <c r="U149" s="521">
        <f t="shared" ref="U149:U170" si="94">J149-O149</f>
        <v>0</v>
      </c>
      <c r="V149" s="521">
        <f t="shared" ref="V149:V170" si="95">K149-P149</f>
        <v>0</v>
      </c>
      <c r="W149" s="521">
        <f t="shared" ref="W149:W170" si="96">L149-Q149</f>
        <v>1</v>
      </c>
      <c r="X149" s="510"/>
    </row>
    <row r="150" spans="1:24" x14ac:dyDescent="0.2">
      <c r="A150" s="511" t="s">
        <v>378</v>
      </c>
      <c r="B150" s="512" t="s">
        <v>462</v>
      </c>
      <c r="C150" s="512" t="s">
        <v>309</v>
      </c>
      <c r="D150" s="512" t="s">
        <v>1538</v>
      </c>
      <c r="E150" s="512" t="s">
        <v>311</v>
      </c>
      <c r="F150" s="513" t="s">
        <v>465</v>
      </c>
      <c r="G150" s="530"/>
      <c r="H150" s="528">
        <v>0</v>
      </c>
      <c r="I150" s="516">
        <v>0</v>
      </c>
      <c r="J150" s="516">
        <v>0</v>
      </c>
      <c r="K150" s="516">
        <v>5</v>
      </c>
      <c r="L150" s="517">
        <v>0</v>
      </c>
      <c r="M150" s="518">
        <v>0</v>
      </c>
      <c r="N150" s="519">
        <v>0</v>
      </c>
      <c r="O150" s="519">
        <v>0</v>
      </c>
      <c r="P150" s="519">
        <v>0</v>
      </c>
      <c r="Q150" s="519">
        <v>0</v>
      </c>
      <c r="R150" s="520" t="s">
        <v>462</v>
      </c>
      <c r="S150" s="521">
        <f t="shared" si="92"/>
        <v>0</v>
      </c>
      <c r="T150" s="521">
        <f t="shared" si="93"/>
        <v>0</v>
      </c>
      <c r="U150" s="521">
        <f t="shared" si="94"/>
        <v>0</v>
      </c>
      <c r="V150" s="521">
        <f t="shared" si="95"/>
        <v>5</v>
      </c>
      <c r="W150" s="521">
        <f t="shared" si="96"/>
        <v>0</v>
      </c>
      <c r="X150" s="510"/>
    </row>
    <row r="151" spans="1:24" x14ac:dyDescent="0.2">
      <c r="A151" s="524" t="s">
        <v>378</v>
      </c>
      <c r="B151" s="525" t="s">
        <v>424</v>
      </c>
      <c r="C151" s="525" t="s">
        <v>309</v>
      </c>
      <c r="D151" s="525" t="s">
        <v>1124</v>
      </c>
      <c r="E151" s="525" t="s">
        <v>334</v>
      </c>
      <c r="F151" s="526" t="s">
        <v>467</v>
      </c>
      <c r="G151" s="550" t="s">
        <v>1459</v>
      </c>
      <c r="H151" s="528">
        <v>5</v>
      </c>
      <c r="I151" s="516">
        <v>5</v>
      </c>
      <c r="J151" s="516">
        <v>10</v>
      </c>
      <c r="K151" s="516"/>
      <c r="L151" s="517"/>
      <c r="M151" s="518">
        <v>5</v>
      </c>
      <c r="N151" s="519">
        <v>5</v>
      </c>
      <c r="O151" s="519">
        <v>10</v>
      </c>
      <c r="P151" s="519"/>
      <c r="Q151" s="519"/>
      <c r="R151" s="520" t="s">
        <v>424</v>
      </c>
      <c r="S151" s="521">
        <f t="shared" si="92"/>
        <v>0</v>
      </c>
      <c r="T151" s="521">
        <f t="shared" si="93"/>
        <v>0</v>
      </c>
      <c r="U151" s="521">
        <f>J151-O151</f>
        <v>0</v>
      </c>
      <c r="V151" s="521">
        <f>K151-P151</f>
        <v>0</v>
      </c>
      <c r="W151" s="521">
        <f t="shared" si="96"/>
        <v>0</v>
      </c>
      <c r="X151" s="510" t="s">
        <v>1506</v>
      </c>
    </row>
    <row r="152" spans="1:24" x14ac:dyDescent="0.2">
      <c r="A152" s="511" t="s">
        <v>378</v>
      </c>
      <c r="B152" s="512" t="s">
        <v>424</v>
      </c>
      <c r="C152" s="512" t="s">
        <v>309</v>
      </c>
      <c r="D152" s="512" t="s">
        <v>319</v>
      </c>
      <c r="E152" s="512" t="s">
        <v>318</v>
      </c>
      <c r="F152" s="513" t="s">
        <v>465</v>
      </c>
      <c r="G152" s="585"/>
      <c r="H152" s="528">
        <v>4</v>
      </c>
      <c r="I152" s="516">
        <v>4</v>
      </c>
      <c r="J152" s="516"/>
      <c r="K152" s="516"/>
      <c r="L152" s="517"/>
      <c r="M152" s="518">
        <v>4</v>
      </c>
      <c r="N152" s="519">
        <v>4</v>
      </c>
      <c r="O152" s="519"/>
      <c r="P152" s="519"/>
      <c r="Q152" s="519"/>
      <c r="R152" s="520"/>
      <c r="S152" s="521">
        <f t="shared" si="92"/>
        <v>0</v>
      </c>
      <c r="T152" s="521">
        <f t="shared" si="93"/>
        <v>0</v>
      </c>
      <c r="U152" s="521">
        <f t="shared" si="94"/>
        <v>0</v>
      </c>
      <c r="V152" s="521">
        <f t="shared" si="95"/>
        <v>0</v>
      </c>
      <c r="W152" s="521">
        <f t="shared" si="96"/>
        <v>0</v>
      </c>
      <c r="X152" s="510"/>
    </row>
    <row r="153" spans="1:24" x14ac:dyDescent="0.2">
      <c r="A153" s="524" t="s">
        <v>378</v>
      </c>
      <c r="B153" s="525" t="s">
        <v>1462</v>
      </c>
      <c r="C153" s="525" t="s">
        <v>309</v>
      </c>
      <c r="D153" s="525" t="s">
        <v>1539</v>
      </c>
      <c r="E153" s="525" t="s">
        <v>320</v>
      </c>
      <c r="F153" s="526" t="s">
        <v>467</v>
      </c>
      <c r="G153" s="550"/>
      <c r="H153" s="528"/>
      <c r="I153" s="516"/>
      <c r="J153" s="516"/>
      <c r="K153" s="516">
        <v>279</v>
      </c>
      <c r="L153" s="517"/>
      <c r="M153" s="518"/>
      <c r="N153" s="519"/>
      <c r="O153" s="519"/>
      <c r="P153" s="519">
        <v>45</v>
      </c>
      <c r="Q153" s="519"/>
      <c r="R153" s="520" t="s">
        <v>1462</v>
      </c>
      <c r="S153" s="521">
        <f t="shared" si="92"/>
        <v>0</v>
      </c>
      <c r="T153" s="521">
        <f t="shared" si="93"/>
        <v>0</v>
      </c>
      <c r="U153" s="521">
        <f t="shared" si="94"/>
        <v>0</v>
      </c>
      <c r="V153" s="521">
        <f t="shared" si="95"/>
        <v>234</v>
      </c>
      <c r="W153" s="521">
        <f t="shared" si="96"/>
        <v>0</v>
      </c>
      <c r="X153" s="510"/>
    </row>
    <row r="154" spans="1:24" x14ac:dyDescent="0.2">
      <c r="A154" s="511" t="s">
        <v>378</v>
      </c>
      <c r="B154" s="512" t="s">
        <v>462</v>
      </c>
      <c r="C154" s="512" t="s">
        <v>309</v>
      </c>
      <c r="D154" s="512" t="s">
        <v>327</v>
      </c>
      <c r="E154" s="512" t="s">
        <v>326</v>
      </c>
      <c r="F154" s="513" t="s">
        <v>465</v>
      </c>
      <c r="G154" s="585"/>
      <c r="H154" s="528">
        <v>0</v>
      </c>
      <c r="I154" s="516">
        <v>0</v>
      </c>
      <c r="J154" s="516">
        <v>0</v>
      </c>
      <c r="K154" s="516">
        <v>10</v>
      </c>
      <c r="L154" s="517">
        <v>0</v>
      </c>
      <c r="M154" s="518">
        <v>0</v>
      </c>
      <c r="N154" s="519">
        <v>0</v>
      </c>
      <c r="O154" s="519">
        <v>0</v>
      </c>
      <c r="P154" s="519">
        <v>10</v>
      </c>
      <c r="Q154" s="519">
        <v>0</v>
      </c>
      <c r="R154" s="520" t="s">
        <v>1458</v>
      </c>
      <c r="S154" s="521">
        <f t="shared" si="92"/>
        <v>0</v>
      </c>
      <c r="T154" s="521">
        <f t="shared" si="93"/>
        <v>0</v>
      </c>
      <c r="U154" s="521">
        <f t="shared" si="94"/>
        <v>0</v>
      </c>
      <c r="V154" s="521">
        <f t="shared" si="95"/>
        <v>0</v>
      </c>
      <c r="W154" s="521">
        <f t="shared" si="96"/>
        <v>0</v>
      </c>
      <c r="X154" s="510"/>
    </row>
    <row r="155" spans="1:24" x14ac:dyDescent="0.2">
      <c r="A155" s="524" t="s">
        <v>378</v>
      </c>
      <c r="B155" s="525" t="s">
        <v>1462</v>
      </c>
      <c r="C155" s="525" t="s">
        <v>309</v>
      </c>
      <c r="D155" s="525" t="s">
        <v>1540</v>
      </c>
      <c r="E155" s="525" t="s">
        <v>328</v>
      </c>
      <c r="F155" s="526" t="s">
        <v>465</v>
      </c>
      <c r="G155" s="550" t="s">
        <v>1459</v>
      </c>
      <c r="H155" s="528"/>
      <c r="I155" s="516"/>
      <c r="J155" s="516"/>
      <c r="K155" s="516"/>
      <c r="L155" s="517"/>
      <c r="M155" s="518"/>
      <c r="N155" s="519"/>
      <c r="O155" s="519"/>
      <c r="P155" s="519"/>
      <c r="Q155" s="519"/>
      <c r="R155" s="520" t="s">
        <v>1462</v>
      </c>
      <c r="S155" s="521">
        <f t="shared" si="92"/>
        <v>0</v>
      </c>
      <c r="T155" s="521">
        <f t="shared" si="93"/>
        <v>0</v>
      </c>
      <c r="U155" s="521">
        <f t="shared" si="94"/>
        <v>0</v>
      </c>
      <c r="V155" s="521">
        <f t="shared" si="95"/>
        <v>0</v>
      </c>
      <c r="W155" s="521">
        <f t="shared" si="96"/>
        <v>0</v>
      </c>
      <c r="X155" s="510"/>
    </row>
    <row r="156" spans="1:24" x14ac:dyDescent="0.2">
      <c r="A156" s="511" t="s">
        <v>378</v>
      </c>
      <c r="B156" s="512" t="s">
        <v>424</v>
      </c>
      <c r="C156" s="512" t="s">
        <v>309</v>
      </c>
      <c r="D156" s="512" t="s">
        <v>323</v>
      </c>
      <c r="E156" s="512" t="s">
        <v>322</v>
      </c>
      <c r="F156" s="513" t="s">
        <v>465</v>
      </c>
      <c r="G156" s="585" t="s">
        <v>1459</v>
      </c>
      <c r="H156" s="528">
        <v>88</v>
      </c>
      <c r="I156" s="516">
        <v>88</v>
      </c>
      <c r="J156" s="516"/>
      <c r="K156" s="516">
        <v>60</v>
      </c>
      <c r="L156" s="517"/>
      <c r="M156" s="518">
        <v>88</v>
      </c>
      <c r="N156" s="519">
        <v>88</v>
      </c>
      <c r="O156" s="519"/>
      <c r="P156" s="519"/>
      <c r="Q156" s="519"/>
      <c r="R156" s="520" t="s">
        <v>1521</v>
      </c>
      <c r="S156" s="521">
        <f t="shared" si="92"/>
        <v>0</v>
      </c>
      <c r="T156" s="521">
        <f t="shared" si="93"/>
        <v>0</v>
      </c>
      <c r="U156" s="521">
        <f t="shared" si="94"/>
        <v>0</v>
      </c>
      <c r="V156" s="521">
        <f t="shared" si="95"/>
        <v>60</v>
      </c>
      <c r="W156" s="521">
        <f t="shared" si="96"/>
        <v>0</v>
      </c>
      <c r="X156" s="510"/>
    </row>
    <row r="157" spans="1:24" x14ac:dyDescent="0.2">
      <c r="A157" s="524" t="s">
        <v>378</v>
      </c>
      <c r="B157" s="525" t="s">
        <v>424</v>
      </c>
      <c r="C157" s="525" t="s">
        <v>309</v>
      </c>
      <c r="D157" s="525" t="s">
        <v>325</v>
      </c>
      <c r="E157" s="525" t="s">
        <v>324</v>
      </c>
      <c r="F157" s="526" t="s">
        <v>465</v>
      </c>
      <c r="G157" s="550" t="s">
        <v>1459</v>
      </c>
      <c r="H157" s="528">
        <v>6</v>
      </c>
      <c r="I157" s="516">
        <v>5</v>
      </c>
      <c r="J157" s="516"/>
      <c r="K157" s="516">
        <v>10</v>
      </c>
      <c r="L157" s="517"/>
      <c r="M157" s="518">
        <v>6</v>
      </c>
      <c r="N157" s="519">
        <v>5</v>
      </c>
      <c r="O157" s="519"/>
      <c r="P157" s="519">
        <v>10</v>
      </c>
      <c r="Q157" s="519"/>
      <c r="R157" s="520"/>
      <c r="S157" s="521">
        <f t="shared" si="92"/>
        <v>0</v>
      </c>
      <c r="T157" s="521">
        <f t="shared" si="93"/>
        <v>0</v>
      </c>
      <c r="U157" s="521">
        <f t="shared" si="94"/>
        <v>0</v>
      </c>
      <c r="V157" s="521">
        <f t="shared" si="95"/>
        <v>0</v>
      </c>
      <c r="W157" s="521">
        <f t="shared" si="96"/>
        <v>0</v>
      </c>
      <c r="X157" s="510" t="s">
        <v>1506</v>
      </c>
    </row>
    <row r="158" spans="1:24" x14ac:dyDescent="0.2">
      <c r="A158" s="511" t="s">
        <v>378</v>
      </c>
      <c r="B158" s="512" t="s">
        <v>462</v>
      </c>
      <c r="C158" s="512" t="s">
        <v>309</v>
      </c>
      <c r="D158" s="512" t="s">
        <v>342</v>
      </c>
      <c r="E158" s="512" t="s">
        <v>341</v>
      </c>
      <c r="F158" s="513" t="s">
        <v>465</v>
      </c>
      <c r="G158" s="585"/>
      <c r="H158" s="528">
        <v>0</v>
      </c>
      <c r="I158" s="516">
        <v>0</v>
      </c>
      <c r="J158" s="516">
        <v>0</v>
      </c>
      <c r="K158" s="516">
        <v>5</v>
      </c>
      <c r="L158" s="517">
        <v>0</v>
      </c>
      <c r="M158" s="518">
        <v>0</v>
      </c>
      <c r="N158" s="519">
        <v>0</v>
      </c>
      <c r="O158" s="519">
        <v>0</v>
      </c>
      <c r="P158" s="519">
        <v>0</v>
      </c>
      <c r="Q158" s="519">
        <v>0</v>
      </c>
      <c r="R158" s="520" t="s">
        <v>1458</v>
      </c>
      <c r="S158" s="521">
        <f t="shared" si="92"/>
        <v>0</v>
      </c>
      <c r="T158" s="521">
        <f t="shared" si="93"/>
        <v>0</v>
      </c>
      <c r="U158" s="521">
        <f t="shared" si="94"/>
        <v>0</v>
      </c>
      <c r="V158" s="521">
        <f t="shared" si="95"/>
        <v>5</v>
      </c>
      <c r="W158" s="521">
        <f t="shared" si="96"/>
        <v>0</v>
      </c>
      <c r="X158" s="510"/>
    </row>
    <row r="159" spans="1:24" x14ac:dyDescent="0.2">
      <c r="A159" s="524" t="s">
        <v>378</v>
      </c>
      <c r="B159" s="525" t="s">
        <v>424</v>
      </c>
      <c r="C159" s="525" t="s">
        <v>309</v>
      </c>
      <c r="D159" s="525" t="s">
        <v>1048</v>
      </c>
      <c r="E159" s="525" t="s">
        <v>343</v>
      </c>
      <c r="F159" s="526" t="s">
        <v>467</v>
      </c>
      <c r="G159" s="550"/>
      <c r="H159" s="528"/>
      <c r="I159" s="516">
        <v>2</v>
      </c>
      <c r="J159" s="516">
        <v>10</v>
      </c>
      <c r="K159" s="516"/>
      <c r="L159" s="517"/>
      <c r="M159" s="518"/>
      <c r="N159" s="519">
        <v>2</v>
      </c>
      <c r="O159" s="519">
        <v>10</v>
      </c>
      <c r="P159" s="519"/>
      <c r="Q159" s="519"/>
      <c r="R159" s="520" t="s">
        <v>424</v>
      </c>
      <c r="S159" s="521">
        <f t="shared" si="92"/>
        <v>0</v>
      </c>
      <c r="T159" s="521">
        <f t="shared" si="93"/>
        <v>0</v>
      </c>
      <c r="U159" s="521">
        <f t="shared" si="94"/>
        <v>0</v>
      </c>
      <c r="V159" s="521">
        <f t="shared" si="95"/>
        <v>0</v>
      </c>
      <c r="W159" s="521">
        <f t="shared" si="96"/>
        <v>0</v>
      </c>
      <c r="X159" s="510" t="s">
        <v>1506</v>
      </c>
    </row>
    <row r="160" spans="1:24" x14ac:dyDescent="0.2">
      <c r="A160" s="511" t="s">
        <v>378</v>
      </c>
      <c r="B160" s="512" t="s">
        <v>1462</v>
      </c>
      <c r="C160" s="512" t="s">
        <v>309</v>
      </c>
      <c r="D160" s="512" t="s">
        <v>1541</v>
      </c>
      <c r="E160" s="512" t="s">
        <v>352</v>
      </c>
      <c r="F160" s="575" t="s">
        <v>467</v>
      </c>
      <c r="G160" s="530"/>
      <c r="H160" s="528"/>
      <c r="I160" s="516"/>
      <c r="J160" s="516"/>
      <c r="K160" s="516"/>
      <c r="L160" s="517"/>
      <c r="M160" s="518"/>
      <c r="N160" s="519"/>
      <c r="O160" s="519"/>
      <c r="P160" s="519"/>
      <c r="Q160" s="519"/>
      <c r="R160" s="520" t="s">
        <v>1462</v>
      </c>
      <c r="S160" s="521">
        <f t="shared" si="92"/>
        <v>0</v>
      </c>
      <c r="T160" s="521">
        <f t="shared" si="93"/>
        <v>0</v>
      </c>
      <c r="U160" s="521">
        <f t="shared" si="94"/>
        <v>0</v>
      </c>
      <c r="V160" s="521">
        <f t="shared" si="95"/>
        <v>0</v>
      </c>
      <c r="W160" s="521">
        <f t="shared" si="96"/>
        <v>0</v>
      </c>
      <c r="X160" s="510"/>
    </row>
    <row r="161" spans="1:24" x14ac:dyDescent="0.2">
      <c r="A161" s="524" t="s">
        <v>378</v>
      </c>
      <c r="B161" s="525" t="s">
        <v>462</v>
      </c>
      <c r="C161" s="525" t="s">
        <v>309</v>
      </c>
      <c r="D161" s="525" t="s">
        <v>1542</v>
      </c>
      <c r="E161" s="525" t="s">
        <v>316</v>
      </c>
      <c r="F161" s="526" t="s">
        <v>465</v>
      </c>
      <c r="G161" s="550" t="s">
        <v>1459</v>
      </c>
      <c r="H161" s="528">
        <v>16</v>
      </c>
      <c r="I161" s="516">
        <v>16</v>
      </c>
      <c r="J161" s="516">
        <v>20</v>
      </c>
      <c r="K161" s="516">
        <v>10</v>
      </c>
      <c r="L161" s="517">
        <v>0</v>
      </c>
      <c r="M161" s="518">
        <v>16</v>
      </c>
      <c r="N161" s="519">
        <v>16</v>
      </c>
      <c r="O161" s="519">
        <v>0</v>
      </c>
      <c r="P161" s="519">
        <v>10</v>
      </c>
      <c r="Q161" s="519">
        <v>0</v>
      </c>
      <c r="R161" s="520" t="s">
        <v>1543</v>
      </c>
      <c r="S161" s="521">
        <f t="shared" si="92"/>
        <v>0</v>
      </c>
      <c r="T161" s="521">
        <f t="shared" si="93"/>
        <v>0</v>
      </c>
      <c r="U161" s="521">
        <f t="shared" si="94"/>
        <v>20</v>
      </c>
      <c r="V161" s="521">
        <f t="shared" si="95"/>
        <v>0</v>
      </c>
      <c r="W161" s="521">
        <f t="shared" si="96"/>
        <v>0</v>
      </c>
      <c r="X161" s="510"/>
    </row>
    <row r="162" spans="1:24" x14ac:dyDescent="0.2">
      <c r="A162" s="511" t="s">
        <v>378</v>
      </c>
      <c r="B162" s="512" t="s">
        <v>424</v>
      </c>
      <c r="C162" s="512" t="s">
        <v>309</v>
      </c>
      <c r="D162" s="512" t="s">
        <v>1544</v>
      </c>
      <c r="E162" s="512" t="s">
        <v>339</v>
      </c>
      <c r="F162" s="513" t="s">
        <v>465</v>
      </c>
      <c r="G162" s="530"/>
      <c r="H162" s="528">
        <v>20</v>
      </c>
      <c r="I162" s="516">
        <v>40</v>
      </c>
      <c r="J162" s="516"/>
      <c r="K162" s="516"/>
      <c r="L162" s="517"/>
      <c r="M162" s="518">
        <v>20</v>
      </c>
      <c r="N162" s="519">
        <v>40</v>
      </c>
      <c r="O162" s="519"/>
      <c r="P162" s="519"/>
      <c r="Q162" s="519"/>
      <c r="R162" s="520"/>
      <c r="S162" s="521">
        <f t="shared" si="92"/>
        <v>0</v>
      </c>
      <c r="T162" s="521">
        <f t="shared" si="93"/>
        <v>0</v>
      </c>
      <c r="U162" s="521">
        <f t="shared" si="94"/>
        <v>0</v>
      </c>
      <c r="V162" s="521">
        <f t="shared" si="95"/>
        <v>0</v>
      </c>
      <c r="W162" s="521">
        <f t="shared" si="96"/>
        <v>0</v>
      </c>
      <c r="X162" s="510"/>
    </row>
    <row r="163" spans="1:24" x14ac:dyDescent="0.2">
      <c r="A163" s="524" t="s">
        <v>378</v>
      </c>
      <c r="B163" s="525" t="s">
        <v>462</v>
      </c>
      <c r="C163" s="525" t="s">
        <v>309</v>
      </c>
      <c r="D163" s="525" t="s">
        <v>1545</v>
      </c>
      <c r="E163" s="525" t="s">
        <v>336</v>
      </c>
      <c r="F163" s="526" t="s">
        <v>465</v>
      </c>
      <c r="G163" s="550"/>
      <c r="H163" s="528">
        <v>0</v>
      </c>
      <c r="I163" s="516">
        <v>7</v>
      </c>
      <c r="J163" s="516">
        <v>0</v>
      </c>
      <c r="K163" s="516">
        <v>0</v>
      </c>
      <c r="L163" s="517">
        <v>0</v>
      </c>
      <c r="M163" s="518">
        <v>0</v>
      </c>
      <c r="N163" s="519">
        <v>0</v>
      </c>
      <c r="O163" s="519">
        <v>0</v>
      </c>
      <c r="P163" s="519">
        <v>0</v>
      </c>
      <c r="Q163" s="519">
        <v>0</v>
      </c>
      <c r="R163" s="520" t="s">
        <v>1546</v>
      </c>
      <c r="S163" s="521">
        <f t="shared" si="92"/>
        <v>0</v>
      </c>
      <c r="T163" s="521">
        <f t="shared" si="93"/>
        <v>7</v>
      </c>
      <c r="U163" s="521">
        <f t="shared" si="94"/>
        <v>0</v>
      </c>
      <c r="V163" s="521">
        <f t="shared" si="95"/>
        <v>0</v>
      </c>
      <c r="W163" s="521">
        <f t="shared" si="96"/>
        <v>0</v>
      </c>
      <c r="X163" s="510"/>
    </row>
    <row r="164" spans="1:24" x14ac:dyDescent="0.2">
      <c r="A164" s="511" t="s">
        <v>378</v>
      </c>
      <c r="B164" s="512" t="s">
        <v>462</v>
      </c>
      <c r="C164" s="512" t="s">
        <v>309</v>
      </c>
      <c r="D164" s="512" t="s">
        <v>1547</v>
      </c>
      <c r="E164" s="512" t="s">
        <v>348</v>
      </c>
      <c r="F164" s="513" t="s">
        <v>465</v>
      </c>
      <c r="G164" s="530"/>
      <c r="H164" s="528"/>
      <c r="I164" s="516">
        <v>11</v>
      </c>
      <c r="J164" s="516">
        <v>15</v>
      </c>
      <c r="K164" s="516">
        <v>10</v>
      </c>
      <c r="L164" s="517">
        <v>0</v>
      </c>
      <c r="M164" s="518">
        <v>0</v>
      </c>
      <c r="N164" s="519">
        <v>11</v>
      </c>
      <c r="O164" s="519">
        <v>15</v>
      </c>
      <c r="P164" s="519">
        <v>0</v>
      </c>
      <c r="Q164" s="519">
        <v>0</v>
      </c>
      <c r="R164" s="520" t="s">
        <v>1458</v>
      </c>
      <c r="S164" s="521">
        <f t="shared" si="92"/>
        <v>0</v>
      </c>
      <c r="T164" s="521">
        <f t="shared" si="93"/>
        <v>0</v>
      </c>
      <c r="U164" s="521">
        <f t="shared" si="94"/>
        <v>0</v>
      </c>
      <c r="V164" s="521">
        <f t="shared" si="95"/>
        <v>10</v>
      </c>
      <c r="W164" s="521">
        <f t="shared" si="96"/>
        <v>0</v>
      </c>
      <c r="X164" s="510"/>
    </row>
    <row r="165" spans="1:24" x14ac:dyDescent="0.2">
      <c r="A165" s="524" t="s">
        <v>378</v>
      </c>
      <c r="B165" s="525" t="s">
        <v>424</v>
      </c>
      <c r="C165" s="525" t="s">
        <v>309</v>
      </c>
      <c r="D165" s="525" t="s">
        <v>345</v>
      </c>
      <c r="E165" s="525" t="s">
        <v>344</v>
      </c>
      <c r="F165" s="526" t="s">
        <v>465</v>
      </c>
      <c r="G165" s="550"/>
      <c r="H165" s="528">
        <v>0</v>
      </c>
      <c r="I165" s="516">
        <v>11</v>
      </c>
      <c r="J165" s="516">
        <v>15</v>
      </c>
      <c r="K165" s="516">
        <v>0</v>
      </c>
      <c r="L165" s="517">
        <v>0</v>
      </c>
      <c r="M165" s="518"/>
      <c r="N165" s="519">
        <v>11</v>
      </c>
      <c r="O165" s="519">
        <v>15</v>
      </c>
      <c r="P165" s="519"/>
      <c r="Q165" s="519"/>
      <c r="R165" s="520" t="s">
        <v>424</v>
      </c>
      <c r="S165" s="521">
        <f t="shared" si="92"/>
        <v>0</v>
      </c>
      <c r="T165" s="521">
        <f t="shared" si="93"/>
        <v>0</v>
      </c>
      <c r="U165" s="521">
        <f t="shared" si="94"/>
        <v>0</v>
      </c>
      <c r="V165" s="521">
        <f t="shared" si="95"/>
        <v>0</v>
      </c>
      <c r="W165" s="521">
        <f t="shared" si="96"/>
        <v>0</v>
      </c>
      <c r="X165" s="510" t="s">
        <v>1506</v>
      </c>
    </row>
    <row r="166" spans="1:24" x14ac:dyDescent="0.2">
      <c r="A166" s="511" t="s">
        <v>378</v>
      </c>
      <c r="B166" s="512" t="s">
        <v>462</v>
      </c>
      <c r="C166" s="512" t="s">
        <v>309</v>
      </c>
      <c r="D166" s="512" t="s">
        <v>347</v>
      </c>
      <c r="E166" s="512" t="s">
        <v>346</v>
      </c>
      <c r="F166" s="513" t="s">
        <v>465</v>
      </c>
      <c r="G166" s="585"/>
      <c r="H166" s="528">
        <v>0</v>
      </c>
      <c r="I166" s="516">
        <v>0</v>
      </c>
      <c r="J166" s="516">
        <v>0</v>
      </c>
      <c r="K166" s="516">
        <v>5</v>
      </c>
      <c r="L166" s="517">
        <v>0</v>
      </c>
      <c r="M166" s="518">
        <v>0</v>
      </c>
      <c r="N166" s="519">
        <v>0</v>
      </c>
      <c r="O166" s="519">
        <v>0</v>
      </c>
      <c r="P166" s="519">
        <v>5</v>
      </c>
      <c r="Q166" s="519">
        <v>0</v>
      </c>
      <c r="R166" s="520" t="s">
        <v>462</v>
      </c>
      <c r="S166" s="521">
        <f t="shared" si="92"/>
        <v>0</v>
      </c>
      <c r="T166" s="521">
        <f t="shared" si="93"/>
        <v>0</v>
      </c>
      <c r="U166" s="521">
        <f t="shared" si="94"/>
        <v>0</v>
      </c>
      <c r="V166" s="521">
        <f t="shared" si="95"/>
        <v>0</v>
      </c>
      <c r="W166" s="521">
        <f t="shared" si="96"/>
        <v>0</v>
      </c>
      <c r="X166" s="510"/>
    </row>
    <row r="167" spans="1:24" x14ac:dyDescent="0.2">
      <c r="A167" s="524" t="s">
        <v>378</v>
      </c>
      <c r="B167" s="525" t="s">
        <v>462</v>
      </c>
      <c r="C167" s="525" t="s">
        <v>309</v>
      </c>
      <c r="D167" s="551" t="s">
        <v>1548</v>
      </c>
      <c r="E167" s="525" t="s">
        <v>314</v>
      </c>
      <c r="F167" s="526" t="s">
        <v>465</v>
      </c>
      <c r="G167" s="550"/>
      <c r="H167" s="528">
        <v>0</v>
      </c>
      <c r="I167" s="516">
        <v>0</v>
      </c>
      <c r="J167" s="516">
        <v>0</v>
      </c>
      <c r="K167" s="516">
        <v>5</v>
      </c>
      <c r="L167" s="517">
        <v>0</v>
      </c>
      <c r="M167" s="518">
        <v>0</v>
      </c>
      <c r="N167" s="519">
        <v>0</v>
      </c>
      <c r="O167" s="519">
        <v>0</v>
      </c>
      <c r="P167" s="519">
        <v>5</v>
      </c>
      <c r="Q167" s="519">
        <v>0</v>
      </c>
      <c r="R167" s="520" t="s">
        <v>1458</v>
      </c>
      <c r="S167" s="521">
        <f t="shared" si="92"/>
        <v>0</v>
      </c>
      <c r="T167" s="521">
        <f t="shared" si="93"/>
        <v>0</v>
      </c>
      <c r="U167" s="521">
        <f t="shared" si="94"/>
        <v>0</v>
      </c>
      <c r="V167" s="521">
        <f t="shared" si="95"/>
        <v>0</v>
      </c>
      <c r="W167" s="521">
        <f t="shared" si="96"/>
        <v>0</v>
      </c>
      <c r="X167" s="510"/>
    </row>
    <row r="168" spans="1:24" x14ac:dyDescent="0.2">
      <c r="A168" s="511" t="s">
        <v>378</v>
      </c>
      <c r="B168" s="512"/>
      <c r="C168" s="512" t="s">
        <v>309</v>
      </c>
      <c r="D168" s="552" t="s">
        <v>1050</v>
      </c>
      <c r="E168" s="512" t="s">
        <v>354</v>
      </c>
      <c r="F168" s="513" t="s">
        <v>467</v>
      </c>
      <c r="G168" s="568" t="s">
        <v>1459</v>
      </c>
      <c r="H168" s="528"/>
      <c r="I168" s="516"/>
      <c r="J168" s="516"/>
      <c r="K168" s="516"/>
      <c r="L168" s="517"/>
      <c r="M168" s="518">
        <v>0</v>
      </c>
      <c r="N168" s="519">
        <v>0</v>
      </c>
      <c r="O168" s="519">
        <v>0</v>
      </c>
      <c r="P168" s="519">
        <v>5</v>
      </c>
      <c r="Q168" s="519">
        <v>0</v>
      </c>
      <c r="R168" s="520"/>
      <c r="S168" s="521">
        <f t="shared" si="92"/>
        <v>0</v>
      </c>
      <c r="T168" s="521">
        <f t="shared" si="93"/>
        <v>0</v>
      </c>
      <c r="U168" s="521">
        <f t="shared" si="94"/>
        <v>0</v>
      </c>
      <c r="V168" s="521">
        <f t="shared" si="95"/>
        <v>-5</v>
      </c>
      <c r="W168" s="521">
        <f t="shared" si="96"/>
        <v>0</v>
      </c>
      <c r="X168" s="510" t="s">
        <v>1506</v>
      </c>
    </row>
    <row r="169" spans="1:24" x14ac:dyDescent="0.2">
      <c r="A169" s="524" t="s">
        <v>378</v>
      </c>
      <c r="B169" s="525" t="s">
        <v>1479</v>
      </c>
      <c r="C169" s="525" t="s">
        <v>309</v>
      </c>
      <c r="D169" s="551" t="s">
        <v>1549</v>
      </c>
      <c r="E169" s="525"/>
      <c r="F169" s="526"/>
      <c r="G169" s="568" t="s">
        <v>1459</v>
      </c>
      <c r="H169" s="528">
        <v>429</v>
      </c>
      <c r="I169" s="516">
        <v>429</v>
      </c>
      <c r="J169" s="516">
        <v>23</v>
      </c>
      <c r="K169" s="516"/>
      <c r="L169" s="517"/>
      <c r="M169" s="518"/>
      <c r="N169" s="519"/>
      <c r="O169" s="519"/>
      <c r="P169" s="519"/>
      <c r="Q169" s="519"/>
      <c r="R169" s="520" t="s">
        <v>424</v>
      </c>
      <c r="S169" s="521">
        <f t="shared" si="92"/>
        <v>429</v>
      </c>
      <c r="T169" s="521">
        <f t="shared" si="93"/>
        <v>429</v>
      </c>
      <c r="U169" s="521">
        <f t="shared" si="94"/>
        <v>23</v>
      </c>
      <c r="V169" s="521">
        <f t="shared" si="95"/>
        <v>0</v>
      </c>
      <c r="W169" s="521">
        <f t="shared" si="96"/>
        <v>0</v>
      </c>
      <c r="X169" s="510"/>
    </row>
    <row r="170" spans="1:24" x14ac:dyDescent="0.2">
      <c r="A170" s="511" t="s">
        <v>378</v>
      </c>
      <c r="B170" s="512" t="s">
        <v>1462</v>
      </c>
      <c r="C170" s="512" t="s">
        <v>309</v>
      </c>
      <c r="D170" s="512" t="s">
        <v>1550</v>
      </c>
      <c r="E170" s="512" t="s">
        <v>350</v>
      </c>
      <c r="F170" s="575" t="s">
        <v>467</v>
      </c>
      <c r="G170" s="530"/>
      <c r="H170" s="528">
        <v>157</v>
      </c>
      <c r="I170" s="516"/>
      <c r="J170" s="516"/>
      <c r="K170" s="516"/>
      <c r="L170" s="517"/>
      <c r="M170" s="518">
        <v>40</v>
      </c>
      <c r="N170" s="519"/>
      <c r="O170" s="519"/>
      <c r="P170" s="519"/>
      <c r="Q170" s="519"/>
      <c r="R170" s="520" t="s">
        <v>1748</v>
      </c>
      <c r="S170" s="521">
        <f t="shared" si="92"/>
        <v>117</v>
      </c>
      <c r="T170" s="521">
        <f t="shared" si="93"/>
        <v>0</v>
      </c>
      <c r="U170" s="521">
        <f t="shared" si="94"/>
        <v>0</v>
      </c>
      <c r="V170" s="521">
        <f t="shared" si="95"/>
        <v>0</v>
      </c>
      <c r="W170" s="521">
        <f t="shared" si="96"/>
        <v>0</v>
      </c>
      <c r="X170" s="510"/>
    </row>
    <row r="171" spans="1:24" ht="14.45" customHeight="1" x14ac:dyDescent="0.2">
      <c r="A171" s="537" t="s">
        <v>3</v>
      </c>
      <c r="B171" s="538"/>
      <c r="C171" s="538"/>
      <c r="D171" s="539"/>
      <c r="E171" s="540"/>
      <c r="F171" s="541"/>
      <c r="G171" s="542"/>
      <c r="H171" s="543">
        <f>SUM(H149:H170)</f>
        <v>785</v>
      </c>
      <c r="I171" s="543">
        <f t="shared" ref="I171:L171" si="97">SUM(I149:I170)</f>
        <v>678</v>
      </c>
      <c r="J171" s="543">
        <f t="shared" si="97"/>
        <v>93</v>
      </c>
      <c r="K171" s="543">
        <f t="shared" si="97"/>
        <v>399</v>
      </c>
      <c r="L171" s="543">
        <f t="shared" si="97"/>
        <v>1</v>
      </c>
      <c r="M171" s="543">
        <f t="shared" ref="M171:Q171" si="98">SUM(M149:M170)</f>
        <v>204</v>
      </c>
      <c r="N171" s="543">
        <f t="shared" si="98"/>
        <v>207</v>
      </c>
      <c r="O171" s="543">
        <f t="shared" si="98"/>
        <v>50</v>
      </c>
      <c r="P171" s="543">
        <f t="shared" si="98"/>
        <v>90</v>
      </c>
      <c r="Q171" s="543">
        <f t="shared" si="98"/>
        <v>0</v>
      </c>
      <c r="R171" s="545"/>
      <c r="S171" s="543">
        <f>SUMIF($S149:$S$170,"&gt;0")</f>
        <v>581</v>
      </c>
      <c r="T171" s="540">
        <f>SUMIF($T149:$T$170,"&gt;0")</f>
        <v>471</v>
      </c>
      <c r="U171" s="540">
        <f>SUMIF($U149:$U$170,"&gt;0")</f>
        <v>43</v>
      </c>
      <c r="V171" s="540">
        <f>SUMIF($V149:$V$170,"&gt;0")</f>
        <v>314</v>
      </c>
      <c r="W171" s="544">
        <f>SUMIF($W149:$W$170,"&gt;0")</f>
        <v>1</v>
      </c>
      <c r="X171" s="510"/>
    </row>
    <row r="172" spans="1:24" ht="12.75" thickBot="1" x14ac:dyDescent="0.25">
      <c r="A172" s="589"/>
      <c r="B172" s="590"/>
      <c r="C172" s="590" t="s">
        <v>1551</v>
      </c>
      <c r="D172" s="590"/>
      <c r="E172" s="590"/>
      <c r="F172" s="591"/>
      <c r="G172" s="592"/>
      <c r="H172" s="593">
        <f>H15+H21+H45+H60+H70+H74+H80+H83+H97+H101+H124+H130+H140+H142+H145+H171</f>
        <v>3559</v>
      </c>
      <c r="I172" s="593">
        <f>I15+I21+I45+I60+I70+I74+I80+I83+I97+I101+I124+I130+I140+I142+I145+I171</f>
        <v>2551</v>
      </c>
      <c r="J172" s="593">
        <f>J15+J21+J45+J60+J70+J74+J80+J83+J97+J101+J124+J130+J140+J142+J145+J171</f>
        <v>734</v>
      </c>
      <c r="K172" s="593">
        <f>K15+K21+K45+K60+K70+K74+K80+K83+K97+K101+K124+K130+K140+K142+K145+K171</f>
        <v>1126</v>
      </c>
      <c r="L172" s="593">
        <f>L15+L21+L45+L60+L70+L74+L80+L83+L97+L101+L124+L130+L140+L142+L145+L171</f>
        <v>22</v>
      </c>
      <c r="M172" s="594">
        <f>M171+M148+M145+M142+M140+M130+M124+M101+M97+M83+M80+M74+M70+M60+M49+M47+M45+M21+M15</f>
        <v>420</v>
      </c>
      <c r="N172" s="594">
        <f t="shared" ref="N172:Q172" si="99">N171+N148+N145+N142+N140+N130+N124+N101+N97+N83+N80+N74+N70+N60+N49+N47+N45+N21+N15</f>
        <v>335</v>
      </c>
      <c r="O172" s="594">
        <f t="shared" si="99"/>
        <v>201</v>
      </c>
      <c r="P172" s="594">
        <f t="shared" si="99"/>
        <v>370</v>
      </c>
      <c r="Q172" s="594">
        <f t="shared" si="99"/>
        <v>3</v>
      </c>
      <c r="R172" s="595"/>
      <c r="S172" s="596">
        <f>S15+S21+S45+S60+S70+S74+S80+S83+S97+S101+S124+S130+S140+S142+S145+S148+S171</f>
        <v>3266</v>
      </c>
      <c r="T172" s="596">
        <f>T15+T21+T45+T60+T70+T74+T80+T83+T97+T101+T124+T130+T140+T142+T145+T148+T171</f>
        <v>2347</v>
      </c>
      <c r="U172" s="596">
        <f>U15+U21+U45+U60+U70+U74+U80+U83+U97+U101+U124+U130+U140+U142+U145+U148+U171</f>
        <v>593</v>
      </c>
      <c r="V172" s="596">
        <f>V15+V21+V45+V60+V70+V74+V80+V83+V97+V101+V124+V130+V140+V142+V145+V148+V171</f>
        <v>786</v>
      </c>
      <c r="W172" s="597">
        <f>W15+W21+W45+W60+W70+W74+W80+W83+W97+W101+W124+W130+W140+W142+W145+W148+W171</f>
        <v>18</v>
      </c>
      <c r="X172" s="598"/>
    </row>
    <row r="173" spans="1:24" x14ac:dyDescent="0.2">
      <c r="M173" s="605"/>
      <c r="N173" s="606"/>
      <c r="O173" s="606"/>
      <c r="P173" s="606"/>
      <c r="Q173" s="606"/>
      <c r="R173" s="607"/>
      <c r="S173" s="608"/>
      <c r="T173" s="606"/>
      <c r="U173" s="606"/>
      <c r="V173" s="606"/>
      <c r="W173" s="606"/>
    </row>
  </sheetData>
  <autoFilter ref="A4:X172"/>
  <mergeCells count="11">
    <mergeCell ref="S2:W2"/>
    <mergeCell ref="A1:W1"/>
    <mergeCell ref="A2:A4"/>
    <mergeCell ref="B2:B4"/>
    <mergeCell ref="C2:C4"/>
    <mergeCell ref="D2:D4"/>
    <mergeCell ref="E2:E4"/>
    <mergeCell ref="F2:F4"/>
    <mergeCell ref="G2:G4"/>
    <mergeCell ref="H2:L2"/>
    <mergeCell ref="M2:R2"/>
  </mergeCells>
  <conditionalFormatting sqref="H141:L141">
    <cfRule type="uniqueValues" dxfId="877" priority="2" stopIfTrue="1"/>
  </conditionalFormatting>
  <conditionalFormatting sqref="H143:L144">
    <cfRule type="uniqueValues" dxfId="876" priority="1" stopIfTrue="1"/>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89"/>
  <sheetViews>
    <sheetView topLeftCell="I1" workbookViewId="0">
      <selection activeCell="H7" sqref="H7"/>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43" bestFit="1" customWidth="1"/>
    <col min="14" max="14" width="56.7109375" style="43" bestFit="1" customWidth="1"/>
    <col min="15" max="15" width="13.85546875" style="43" bestFit="1" customWidth="1"/>
    <col min="16" max="16" width="10.140625" style="43" bestFit="1" customWidth="1"/>
    <col min="17" max="17" width="12" bestFit="1" customWidth="1"/>
    <col min="21" max="21" width="15.7109375" customWidth="1"/>
    <col min="22" max="22" width="7.140625" customWidth="1"/>
  </cols>
  <sheetData>
    <row r="1" spans="1:22" x14ac:dyDescent="0.25">
      <c r="A1" s="155" t="s">
        <v>458</v>
      </c>
      <c r="B1" s="405" t="s">
        <v>538</v>
      </c>
      <c r="M1" s="155" t="s">
        <v>458</v>
      </c>
      <c r="N1" s="405" t="s">
        <v>538</v>
      </c>
    </row>
    <row r="2" spans="1:22" x14ac:dyDescent="0.25">
      <c r="G2" s="42"/>
      <c r="U2" s="155" t="s">
        <v>458</v>
      </c>
      <c r="V2" s="405" t="s">
        <v>538</v>
      </c>
    </row>
    <row r="3" spans="1:22" x14ac:dyDescent="0.25">
      <c r="A3" s="155" t="s">
        <v>0</v>
      </c>
      <c r="B3" s="155" t="s">
        <v>508</v>
      </c>
      <c r="G3" s="155" t="s">
        <v>508</v>
      </c>
      <c r="H3" s="155" t="s">
        <v>835</v>
      </c>
      <c r="I3" s="155" t="s">
        <v>458</v>
      </c>
      <c r="J3" s="155" t="s">
        <v>784</v>
      </c>
      <c r="K3" t="s">
        <v>796</v>
      </c>
      <c r="M3" s="155" t="s">
        <v>835</v>
      </c>
      <c r="N3" s="155" t="s">
        <v>508</v>
      </c>
      <c r="O3" s="155" t="s">
        <v>0</v>
      </c>
      <c r="P3" s="405" t="s">
        <v>796</v>
      </c>
      <c r="Q3" s="405" t="s">
        <v>766</v>
      </c>
    </row>
    <row r="4" spans="1:22" x14ac:dyDescent="0.25">
      <c r="A4" s="405" t="s">
        <v>5</v>
      </c>
      <c r="B4" s="405" t="s">
        <v>6</v>
      </c>
      <c r="G4" s="405" t="s">
        <v>128</v>
      </c>
      <c r="H4" s="405" t="s">
        <v>127</v>
      </c>
      <c r="I4" s="405" t="s">
        <v>777</v>
      </c>
      <c r="J4" s="405" t="s">
        <v>1251</v>
      </c>
      <c r="K4" s="149">
        <v>0</v>
      </c>
      <c r="M4" s="405" t="s">
        <v>236</v>
      </c>
      <c r="N4" s="405" t="s">
        <v>238</v>
      </c>
      <c r="O4" s="405" t="s">
        <v>237</v>
      </c>
      <c r="P4" s="149">
        <v>69</v>
      </c>
      <c r="Q4" s="149">
        <v>366</v>
      </c>
      <c r="U4" s="155" t="s">
        <v>835</v>
      </c>
    </row>
    <row r="5" spans="1:22" x14ac:dyDescent="0.25">
      <c r="A5" s="405" t="s">
        <v>5</v>
      </c>
      <c r="B5" s="405" t="s">
        <v>466</v>
      </c>
      <c r="G5" s="405" t="s">
        <v>62</v>
      </c>
      <c r="H5" s="405" t="s">
        <v>61</v>
      </c>
      <c r="I5" s="405" t="s">
        <v>777</v>
      </c>
      <c r="J5" s="78">
        <v>41275</v>
      </c>
      <c r="K5" s="149"/>
      <c r="M5" s="405" t="s">
        <v>267</v>
      </c>
      <c r="N5" s="405" t="s">
        <v>268</v>
      </c>
      <c r="O5" s="405" t="s">
        <v>237</v>
      </c>
      <c r="P5" s="149">
        <v>67</v>
      </c>
      <c r="Q5" s="149">
        <v>297</v>
      </c>
      <c r="U5" s="405" t="s">
        <v>236</v>
      </c>
    </row>
    <row r="6" spans="1:22" x14ac:dyDescent="0.25">
      <c r="A6" s="405" t="s">
        <v>5</v>
      </c>
      <c r="B6" s="405" t="s">
        <v>10</v>
      </c>
      <c r="G6" s="405" t="s">
        <v>120</v>
      </c>
      <c r="H6" s="405" t="s">
        <v>119</v>
      </c>
      <c r="I6" s="405" t="s">
        <v>460</v>
      </c>
      <c r="J6" s="78">
        <v>41275</v>
      </c>
      <c r="K6" s="149">
        <v>70</v>
      </c>
      <c r="M6" s="405" t="s">
        <v>249</v>
      </c>
      <c r="N6" s="405" t="s">
        <v>250</v>
      </c>
      <c r="O6" s="405" t="s">
        <v>237</v>
      </c>
      <c r="P6" s="149">
        <v>30</v>
      </c>
      <c r="Q6" s="149">
        <v>170</v>
      </c>
      <c r="U6" s="405" t="s">
        <v>267</v>
      </c>
    </row>
    <row r="7" spans="1:22" x14ac:dyDescent="0.25">
      <c r="A7" s="405" t="s">
        <v>5</v>
      </c>
      <c r="B7" s="405" t="s">
        <v>12</v>
      </c>
      <c r="G7" s="405" t="s">
        <v>1184</v>
      </c>
      <c r="H7" s="405" t="s">
        <v>1190</v>
      </c>
      <c r="I7" s="405" t="s">
        <v>777</v>
      </c>
      <c r="J7" s="78">
        <v>42584</v>
      </c>
      <c r="K7" s="149"/>
      <c r="M7" s="405" t="s">
        <v>247</v>
      </c>
      <c r="N7" s="405" t="s">
        <v>248</v>
      </c>
      <c r="O7" s="405" t="s">
        <v>237</v>
      </c>
      <c r="P7" s="149">
        <v>6</v>
      </c>
      <c r="Q7" s="149">
        <v>31</v>
      </c>
      <c r="U7" s="405" t="s">
        <v>249</v>
      </c>
    </row>
    <row r="8" spans="1:22" x14ac:dyDescent="0.25">
      <c r="A8" s="405" t="s">
        <v>5</v>
      </c>
      <c r="B8" s="405" t="s">
        <v>14</v>
      </c>
      <c r="G8" s="405" t="s">
        <v>6</v>
      </c>
      <c r="H8" s="405" t="s">
        <v>4</v>
      </c>
      <c r="I8" s="405" t="s">
        <v>460</v>
      </c>
      <c r="J8" s="78">
        <v>40848</v>
      </c>
      <c r="K8" s="149">
        <v>257</v>
      </c>
      <c r="M8" s="405" t="s">
        <v>273</v>
      </c>
      <c r="N8" s="405" t="s">
        <v>274</v>
      </c>
      <c r="O8" s="405" t="s">
        <v>237</v>
      </c>
      <c r="P8" s="149">
        <v>46</v>
      </c>
      <c r="Q8" s="149">
        <v>239</v>
      </c>
      <c r="U8" s="405" t="s">
        <v>247</v>
      </c>
    </row>
    <row r="9" spans="1:22" x14ac:dyDescent="0.25">
      <c r="A9" s="405" t="s">
        <v>5</v>
      </c>
      <c r="B9" s="405" t="s">
        <v>16</v>
      </c>
      <c r="G9" s="405" t="s">
        <v>1746</v>
      </c>
      <c r="H9" s="405" t="s">
        <v>789</v>
      </c>
      <c r="I9" s="405" t="s">
        <v>777</v>
      </c>
      <c r="J9" s="78">
        <v>42963</v>
      </c>
      <c r="K9" s="149">
        <v>25</v>
      </c>
      <c r="M9" s="405" t="s">
        <v>275</v>
      </c>
      <c r="N9" s="405" t="s">
        <v>276</v>
      </c>
      <c r="O9" s="405" t="s">
        <v>237</v>
      </c>
      <c r="P9" s="149">
        <v>121</v>
      </c>
      <c r="Q9" s="149">
        <v>556</v>
      </c>
      <c r="U9" s="405" t="s">
        <v>273</v>
      </c>
    </row>
    <row r="10" spans="1:22" x14ac:dyDescent="0.25">
      <c r="A10" s="405" t="s">
        <v>5</v>
      </c>
      <c r="B10" s="405" t="s">
        <v>18</v>
      </c>
      <c r="G10" s="405" t="s">
        <v>41</v>
      </c>
      <c r="H10" s="405" t="s">
        <v>40</v>
      </c>
      <c r="I10" s="405" t="s">
        <v>460</v>
      </c>
      <c r="J10" s="78">
        <v>41275</v>
      </c>
      <c r="K10" s="149">
        <v>65</v>
      </c>
      <c r="M10" s="405" t="s">
        <v>277</v>
      </c>
      <c r="N10" s="405" t="s">
        <v>278</v>
      </c>
      <c r="O10" s="405" t="s">
        <v>237</v>
      </c>
      <c r="P10" s="149">
        <v>23</v>
      </c>
      <c r="Q10" s="149">
        <v>114</v>
      </c>
      <c r="U10" s="405" t="s">
        <v>275</v>
      </c>
    </row>
    <row r="11" spans="1:22" x14ac:dyDescent="0.25">
      <c r="A11" s="405" t="s">
        <v>5</v>
      </c>
      <c r="B11" s="405" t="s">
        <v>8</v>
      </c>
      <c r="G11" s="405" t="s">
        <v>43</v>
      </c>
      <c r="H11" s="405" t="s">
        <v>42</v>
      </c>
      <c r="I11" s="405" t="s">
        <v>460</v>
      </c>
      <c r="J11" s="78">
        <v>41275</v>
      </c>
      <c r="K11" s="149">
        <v>14</v>
      </c>
      <c r="M11" s="405" t="s">
        <v>259</v>
      </c>
      <c r="N11" s="405" t="s">
        <v>260</v>
      </c>
      <c r="O11" s="405" t="s">
        <v>237</v>
      </c>
      <c r="P11" s="149">
        <v>103</v>
      </c>
      <c r="Q11" s="149">
        <v>581</v>
      </c>
      <c r="U11" s="405" t="s">
        <v>277</v>
      </c>
    </row>
    <row r="12" spans="1:22" x14ac:dyDescent="0.25">
      <c r="A12" s="405" t="s">
        <v>5</v>
      </c>
      <c r="B12" s="405" t="s">
        <v>20</v>
      </c>
      <c r="G12" s="405" t="s">
        <v>39</v>
      </c>
      <c r="H12" s="405" t="s">
        <v>38</v>
      </c>
      <c r="I12" s="405" t="s">
        <v>777</v>
      </c>
      <c r="J12" s="405" t="s">
        <v>1251</v>
      </c>
      <c r="K12" s="149"/>
      <c r="M12" s="405" t="s">
        <v>279</v>
      </c>
      <c r="N12" s="405" t="s">
        <v>280</v>
      </c>
      <c r="O12" s="405" t="s">
        <v>237</v>
      </c>
      <c r="P12" s="149">
        <v>91</v>
      </c>
      <c r="Q12" s="149">
        <v>501</v>
      </c>
      <c r="U12" s="405" t="s">
        <v>259</v>
      </c>
    </row>
    <row r="13" spans="1:22" x14ac:dyDescent="0.25">
      <c r="A13" s="405" t="s">
        <v>5</v>
      </c>
      <c r="B13" s="405" t="s">
        <v>364</v>
      </c>
      <c r="G13" s="405" t="s">
        <v>1240</v>
      </c>
      <c r="H13" s="405" t="s">
        <v>1208</v>
      </c>
      <c r="I13" s="405" t="s">
        <v>777</v>
      </c>
      <c r="J13" s="405" t="s">
        <v>1251</v>
      </c>
      <c r="K13" s="149"/>
      <c r="M13" s="405" t="s">
        <v>244</v>
      </c>
      <c r="N13" s="405" t="s">
        <v>1719</v>
      </c>
      <c r="O13" s="405" t="s">
        <v>237</v>
      </c>
      <c r="P13" s="149">
        <v>42</v>
      </c>
      <c r="Q13" s="149">
        <v>186</v>
      </c>
      <c r="U13" s="405" t="s">
        <v>279</v>
      </c>
    </row>
    <row r="14" spans="1:22" x14ac:dyDescent="0.25">
      <c r="A14" s="405" t="s">
        <v>5</v>
      </c>
      <c r="B14" s="405" t="s">
        <v>22</v>
      </c>
      <c r="G14" s="405" t="s">
        <v>466</v>
      </c>
      <c r="H14" s="405" t="s">
        <v>375</v>
      </c>
      <c r="I14" s="405" t="s">
        <v>460</v>
      </c>
      <c r="J14" s="78">
        <v>40787</v>
      </c>
      <c r="K14" s="149">
        <v>12</v>
      </c>
      <c r="M14" s="405" t="s">
        <v>255</v>
      </c>
      <c r="N14" s="405" t="s">
        <v>256</v>
      </c>
      <c r="O14" s="405" t="s">
        <v>237</v>
      </c>
      <c r="P14" s="149">
        <v>43</v>
      </c>
      <c r="Q14" s="149">
        <v>196</v>
      </c>
      <c r="U14" s="405" t="s">
        <v>244</v>
      </c>
    </row>
    <row r="15" spans="1:22" x14ac:dyDescent="0.25">
      <c r="A15" s="405" t="s">
        <v>5</v>
      </c>
      <c r="B15" s="405" t="s">
        <v>824</v>
      </c>
      <c r="G15" s="405" t="s">
        <v>48</v>
      </c>
      <c r="H15" s="405" t="s">
        <v>47</v>
      </c>
      <c r="I15" s="405" t="s">
        <v>777</v>
      </c>
      <c r="J15" s="405" t="s">
        <v>1251</v>
      </c>
      <c r="K15" s="149"/>
      <c r="M15" s="405" t="s">
        <v>283</v>
      </c>
      <c r="N15" s="405" t="s">
        <v>284</v>
      </c>
      <c r="O15" s="405" t="s">
        <v>237</v>
      </c>
      <c r="P15" s="149">
        <v>139</v>
      </c>
      <c r="Q15" s="149">
        <v>707</v>
      </c>
      <c r="U15" s="405" t="s">
        <v>255</v>
      </c>
    </row>
    <row r="16" spans="1:22" x14ac:dyDescent="0.25">
      <c r="A16" s="405" t="s">
        <v>5</v>
      </c>
      <c r="B16" s="405" t="s">
        <v>24</v>
      </c>
      <c r="G16" s="405" t="s">
        <v>50</v>
      </c>
      <c r="H16" s="405" t="s">
        <v>49</v>
      </c>
      <c r="I16" s="405" t="s">
        <v>777</v>
      </c>
      <c r="J16" s="405" t="s">
        <v>1251</v>
      </c>
      <c r="K16" s="149"/>
      <c r="M16" s="405" t="s">
        <v>239</v>
      </c>
      <c r="N16" s="405" t="s">
        <v>240</v>
      </c>
      <c r="O16" s="405" t="s">
        <v>237</v>
      </c>
      <c r="P16" s="149">
        <v>105</v>
      </c>
      <c r="Q16" s="149">
        <v>577</v>
      </c>
      <c r="U16" s="405" t="s">
        <v>283</v>
      </c>
    </row>
    <row r="17" spans="1:21" x14ac:dyDescent="0.25">
      <c r="A17" s="405" t="s">
        <v>5</v>
      </c>
      <c r="B17" s="405" t="s">
        <v>797</v>
      </c>
      <c r="G17" s="405" t="s">
        <v>1224</v>
      </c>
      <c r="H17" s="405" t="s">
        <v>1212</v>
      </c>
      <c r="I17" s="405" t="s">
        <v>777</v>
      </c>
      <c r="J17" s="405" t="s">
        <v>1251</v>
      </c>
      <c r="K17" s="149"/>
      <c r="M17" s="405" t="s">
        <v>257</v>
      </c>
      <c r="N17" s="405" t="s">
        <v>258</v>
      </c>
      <c r="O17" s="405" t="s">
        <v>237</v>
      </c>
      <c r="P17" s="149">
        <v>75</v>
      </c>
      <c r="Q17" s="149">
        <v>395</v>
      </c>
      <c r="U17" s="405" t="s">
        <v>239</v>
      </c>
    </row>
    <row r="18" spans="1:21" x14ac:dyDescent="0.25">
      <c r="A18" s="405" t="s">
        <v>5</v>
      </c>
      <c r="B18" s="405" t="s">
        <v>26</v>
      </c>
      <c r="G18" s="405" t="s">
        <v>1225</v>
      </c>
      <c r="H18" s="405" t="s">
        <v>1213</v>
      </c>
      <c r="I18" s="405" t="s">
        <v>777</v>
      </c>
      <c r="J18" s="405" t="s">
        <v>1251</v>
      </c>
      <c r="K18" s="149"/>
      <c r="M18" s="405" t="s">
        <v>265</v>
      </c>
      <c r="N18" s="405" t="s">
        <v>266</v>
      </c>
      <c r="O18" s="405" t="s">
        <v>237</v>
      </c>
      <c r="P18" s="149"/>
      <c r="Q18" s="149"/>
      <c r="U18" s="405" t="s">
        <v>257</v>
      </c>
    </row>
    <row r="19" spans="1:21" x14ac:dyDescent="0.25">
      <c r="A19" s="405" t="s">
        <v>5</v>
      </c>
      <c r="B19" s="405" t="s">
        <v>881</v>
      </c>
      <c r="G19" s="405" t="s">
        <v>810</v>
      </c>
      <c r="H19" s="405" t="s">
        <v>808</v>
      </c>
      <c r="I19" s="405" t="s">
        <v>777</v>
      </c>
      <c r="J19" s="405" t="s">
        <v>1251</v>
      </c>
      <c r="K19" s="149">
        <v>0</v>
      </c>
      <c r="M19" s="405" t="s">
        <v>251</v>
      </c>
      <c r="N19" s="405" t="s">
        <v>252</v>
      </c>
      <c r="O19" s="405" t="s">
        <v>237</v>
      </c>
      <c r="P19" s="149">
        <v>199</v>
      </c>
      <c r="Q19" s="149">
        <v>1114</v>
      </c>
      <c r="U19" s="405" t="s">
        <v>265</v>
      </c>
    </row>
    <row r="20" spans="1:21" x14ac:dyDescent="0.25">
      <c r="A20" s="405" t="s">
        <v>27</v>
      </c>
      <c r="B20" s="405" t="s">
        <v>28</v>
      </c>
      <c r="G20" s="405" t="s">
        <v>805</v>
      </c>
      <c r="H20" s="405" t="s">
        <v>809</v>
      </c>
      <c r="I20" s="405" t="s">
        <v>777</v>
      </c>
      <c r="J20" s="405" t="s">
        <v>1251</v>
      </c>
      <c r="K20" s="149">
        <v>0</v>
      </c>
      <c r="M20" s="405" t="s">
        <v>253</v>
      </c>
      <c r="N20" s="405" t="s">
        <v>254</v>
      </c>
      <c r="O20" s="405" t="s">
        <v>237</v>
      </c>
      <c r="P20" s="149">
        <v>88</v>
      </c>
      <c r="Q20" s="149">
        <v>427</v>
      </c>
      <c r="U20" s="405" t="s">
        <v>251</v>
      </c>
    </row>
    <row r="21" spans="1:21" x14ac:dyDescent="0.25">
      <c r="A21" s="405" t="s">
        <v>27</v>
      </c>
      <c r="B21" s="405" t="s">
        <v>32</v>
      </c>
      <c r="G21" s="405" t="s">
        <v>806</v>
      </c>
      <c r="H21" s="405" t="s">
        <v>807</v>
      </c>
      <c r="I21" s="405" t="s">
        <v>777</v>
      </c>
      <c r="J21" s="405" t="s">
        <v>1251</v>
      </c>
      <c r="K21" s="149">
        <v>0</v>
      </c>
      <c r="M21" s="405" t="s">
        <v>261</v>
      </c>
      <c r="N21" s="405" t="s">
        <v>262</v>
      </c>
      <c r="O21" s="405" t="s">
        <v>237</v>
      </c>
      <c r="P21" s="149">
        <v>24</v>
      </c>
      <c r="Q21" s="149">
        <v>97</v>
      </c>
      <c r="U21" s="405" t="s">
        <v>253</v>
      </c>
    </row>
    <row r="22" spans="1:21" x14ac:dyDescent="0.25">
      <c r="A22" s="405" t="s">
        <v>27</v>
      </c>
      <c r="B22" s="405" t="s">
        <v>362</v>
      </c>
      <c r="G22" s="405" t="s">
        <v>52</v>
      </c>
      <c r="H22" s="405" t="s">
        <v>51</v>
      </c>
      <c r="I22" s="405" t="s">
        <v>460</v>
      </c>
      <c r="J22" s="78">
        <v>41275</v>
      </c>
      <c r="K22" s="149">
        <v>37</v>
      </c>
      <c r="M22" s="405" t="s">
        <v>263</v>
      </c>
      <c r="N22" s="405" t="s">
        <v>264</v>
      </c>
      <c r="O22" s="405" t="s">
        <v>237</v>
      </c>
      <c r="P22" s="149">
        <v>14</v>
      </c>
      <c r="Q22" s="149">
        <v>75</v>
      </c>
      <c r="U22" s="405" t="s">
        <v>261</v>
      </c>
    </row>
    <row r="23" spans="1:21" x14ac:dyDescent="0.25">
      <c r="A23" s="405" t="s">
        <v>27</v>
      </c>
      <c r="B23" s="405" t="s">
        <v>34</v>
      </c>
      <c r="G23" s="405" t="s">
        <v>58</v>
      </c>
      <c r="H23" s="405" t="s">
        <v>57</v>
      </c>
      <c r="I23" s="405" t="s">
        <v>777</v>
      </c>
      <c r="J23" s="405" t="s">
        <v>1251</v>
      </c>
      <c r="K23" s="149"/>
      <c r="M23" s="405" t="s">
        <v>281</v>
      </c>
      <c r="N23" s="405" t="s">
        <v>282</v>
      </c>
      <c r="O23" s="405" t="s">
        <v>237</v>
      </c>
      <c r="P23" s="149">
        <v>7</v>
      </c>
      <c r="Q23" s="149">
        <v>37</v>
      </c>
      <c r="U23" s="405" t="s">
        <v>263</v>
      </c>
    </row>
    <row r="24" spans="1:21" x14ac:dyDescent="0.25">
      <c r="A24" s="405" t="s">
        <v>27</v>
      </c>
      <c r="B24" s="405" t="s">
        <v>363</v>
      </c>
      <c r="G24" s="405" t="s">
        <v>60</v>
      </c>
      <c r="H24" s="405" t="s">
        <v>59</v>
      </c>
      <c r="I24" s="405" t="s">
        <v>777</v>
      </c>
      <c r="J24" s="78">
        <v>41275</v>
      </c>
      <c r="K24" s="149"/>
      <c r="M24" s="405" t="s">
        <v>241</v>
      </c>
      <c r="N24" s="405" t="s">
        <v>1049</v>
      </c>
      <c r="O24" s="405" t="s">
        <v>237</v>
      </c>
      <c r="P24" s="149">
        <v>54</v>
      </c>
      <c r="Q24" s="149">
        <v>264</v>
      </c>
      <c r="U24" s="405" t="s">
        <v>281</v>
      </c>
    </row>
    <row r="25" spans="1:21" x14ac:dyDescent="0.25">
      <c r="A25" s="405" t="s">
        <v>27</v>
      </c>
      <c r="B25" s="405" t="s">
        <v>792</v>
      </c>
      <c r="G25" s="405" t="s">
        <v>356</v>
      </c>
      <c r="H25" s="405" t="s">
        <v>355</v>
      </c>
      <c r="I25" s="405" t="s">
        <v>777</v>
      </c>
      <c r="J25" s="405" t="s">
        <v>1251</v>
      </c>
      <c r="K25" s="149">
        <v>0</v>
      </c>
      <c r="M25" s="405" t="s">
        <v>269</v>
      </c>
      <c r="N25" s="405" t="s">
        <v>270</v>
      </c>
      <c r="O25" s="405" t="s">
        <v>237</v>
      </c>
      <c r="P25" s="149">
        <v>63</v>
      </c>
      <c r="Q25" s="149">
        <v>310</v>
      </c>
      <c r="U25" s="405" t="s">
        <v>241</v>
      </c>
    </row>
    <row r="26" spans="1:21" x14ac:dyDescent="0.25">
      <c r="A26" s="405" t="s">
        <v>27</v>
      </c>
      <c r="B26" s="405" t="s">
        <v>37</v>
      </c>
      <c r="G26" s="405" t="s">
        <v>333</v>
      </c>
      <c r="H26" s="405" t="s">
        <v>332</v>
      </c>
      <c r="I26" s="405" t="s">
        <v>460</v>
      </c>
      <c r="J26" s="78">
        <v>40848</v>
      </c>
      <c r="K26" s="149">
        <v>132</v>
      </c>
      <c r="M26" s="405" t="s">
        <v>339</v>
      </c>
      <c r="N26" s="405" t="s">
        <v>340</v>
      </c>
      <c r="O26" s="405" t="s">
        <v>309</v>
      </c>
      <c r="P26" s="149">
        <v>64</v>
      </c>
      <c r="Q26" s="149">
        <v>323</v>
      </c>
      <c r="U26" s="405" t="s">
        <v>269</v>
      </c>
    </row>
    <row r="27" spans="1:21" x14ac:dyDescent="0.25">
      <c r="A27" s="405" t="s">
        <v>27</v>
      </c>
      <c r="B27" s="405" t="s">
        <v>879</v>
      </c>
      <c r="G27" s="405" t="s">
        <v>188</v>
      </c>
      <c r="H27" s="405" t="s">
        <v>187</v>
      </c>
      <c r="I27" s="405" t="s">
        <v>460</v>
      </c>
      <c r="J27" s="78">
        <v>40817</v>
      </c>
      <c r="K27" s="149">
        <v>386</v>
      </c>
      <c r="M27" s="405" t="s">
        <v>348</v>
      </c>
      <c r="N27" s="405" t="s">
        <v>349</v>
      </c>
      <c r="O27" s="405" t="s">
        <v>309</v>
      </c>
      <c r="P27" s="149">
        <v>90</v>
      </c>
      <c r="Q27" s="149">
        <v>491</v>
      </c>
      <c r="U27" s="405" t="s">
        <v>339</v>
      </c>
    </row>
    <row r="28" spans="1:21" x14ac:dyDescent="0.25">
      <c r="A28" s="405" t="s">
        <v>481</v>
      </c>
      <c r="B28" s="405" t="s">
        <v>128</v>
      </c>
      <c r="G28" s="405" t="s">
        <v>892</v>
      </c>
      <c r="H28" s="405" t="s">
        <v>893</v>
      </c>
      <c r="I28" s="405" t="s">
        <v>777</v>
      </c>
      <c r="J28" s="78">
        <v>40817</v>
      </c>
      <c r="K28" s="149"/>
      <c r="M28" s="405" t="s">
        <v>318</v>
      </c>
      <c r="N28" s="405" t="s">
        <v>319</v>
      </c>
      <c r="O28" s="405" t="s">
        <v>309</v>
      </c>
      <c r="P28" s="149">
        <v>30</v>
      </c>
      <c r="Q28" s="149">
        <v>165</v>
      </c>
      <c r="U28" s="405" t="s">
        <v>348</v>
      </c>
    </row>
    <row r="29" spans="1:21" x14ac:dyDescent="0.25">
      <c r="A29" s="405" t="s">
        <v>481</v>
      </c>
      <c r="B29" s="405" t="s">
        <v>62</v>
      </c>
      <c r="G29" s="405" t="s">
        <v>72</v>
      </c>
      <c r="H29" s="405" t="s">
        <v>71</v>
      </c>
      <c r="I29" s="405" t="s">
        <v>460</v>
      </c>
      <c r="J29" s="78">
        <v>41487</v>
      </c>
      <c r="K29" s="149">
        <v>5</v>
      </c>
      <c r="M29" s="405" t="s">
        <v>311</v>
      </c>
      <c r="N29" s="405" t="s">
        <v>312</v>
      </c>
      <c r="O29" s="405" t="s">
        <v>309</v>
      </c>
      <c r="P29" s="149">
        <v>103</v>
      </c>
      <c r="Q29" s="149">
        <v>503</v>
      </c>
      <c r="U29" s="405" t="s">
        <v>318</v>
      </c>
    </row>
    <row r="30" spans="1:21" x14ac:dyDescent="0.25">
      <c r="A30" s="405" t="s">
        <v>481</v>
      </c>
      <c r="B30" s="405" t="s">
        <v>120</v>
      </c>
      <c r="G30" s="405" t="s">
        <v>70</v>
      </c>
      <c r="H30" s="405" t="s">
        <v>69</v>
      </c>
      <c r="I30" s="405" t="s">
        <v>777</v>
      </c>
      <c r="J30" s="405" t="s">
        <v>1251</v>
      </c>
      <c r="K30" s="149"/>
      <c r="M30" s="405" t="s">
        <v>328</v>
      </c>
      <c r="N30" s="405" t="s">
        <v>329</v>
      </c>
      <c r="O30" s="405" t="s">
        <v>309</v>
      </c>
      <c r="P30" s="149">
        <v>282</v>
      </c>
      <c r="Q30" s="149">
        <v>1478</v>
      </c>
      <c r="U30" s="405" t="s">
        <v>311</v>
      </c>
    </row>
    <row r="31" spans="1:21" x14ac:dyDescent="0.25">
      <c r="A31" s="405" t="s">
        <v>481</v>
      </c>
      <c r="B31" s="405" t="s">
        <v>41</v>
      </c>
      <c r="G31" s="405" t="s">
        <v>28</v>
      </c>
      <c r="H31" s="405" t="s">
        <v>30</v>
      </c>
      <c r="I31" s="405" t="s">
        <v>460</v>
      </c>
      <c r="J31" s="78">
        <v>41244</v>
      </c>
      <c r="K31" s="149">
        <v>108</v>
      </c>
      <c r="M31" s="405" t="s">
        <v>336</v>
      </c>
      <c r="N31" s="405" t="s">
        <v>337</v>
      </c>
      <c r="O31" s="405" t="s">
        <v>309</v>
      </c>
      <c r="P31" s="149">
        <v>29</v>
      </c>
      <c r="Q31" s="149">
        <v>160</v>
      </c>
      <c r="U31" s="405" t="s">
        <v>328</v>
      </c>
    </row>
    <row r="32" spans="1:21" x14ac:dyDescent="0.25">
      <c r="A32" s="405" t="s">
        <v>481</v>
      </c>
      <c r="B32" s="405" t="s">
        <v>43</v>
      </c>
      <c r="G32" s="405" t="s">
        <v>10</v>
      </c>
      <c r="H32" s="405" t="s">
        <v>9</v>
      </c>
      <c r="I32" s="405" t="s">
        <v>777</v>
      </c>
      <c r="J32" s="405" t="s">
        <v>1251</v>
      </c>
      <c r="K32" s="149">
        <v>0</v>
      </c>
      <c r="M32" s="405" t="s">
        <v>326</v>
      </c>
      <c r="N32" s="405" t="s">
        <v>327</v>
      </c>
      <c r="O32" s="405" t="s">
        <v>309</v>
      </c>
      <c r="P32" s="149">
        <v>333</v>
      </c>
      <c r="Q32" s="149">
        <v>1800</v>
      </c>
      <c r="U32" s="405" t="s">
        <v>336</v>
      </c>
    </row>
    <row r="33" spans="1:21" x14ac:dyDescent="0.25">
      <c r="A33" s="405" t="s">
        <v>481</v>
      </c>
      <c r="B33" s="405" t="s">
        <v>39</v>
      </c>
      <c r="G33" s="405" t="s">
        <v>1098</v>
      </c>
      <c r="H33" s="405" t="s">
        <v>1099</v>
      </c>
      <c r="I33" s="405" t="s">
        <v>777</v>
      </c>
      <c r="J33" s="405" t="s">
        <v>1251</v>
      </c>
      <c r="K33" s="149"/>
      <c r="M33" s="405" t="s">
        <v>316</v>
      </c>
      <c r="N33" s="405" t="s">
        <v>317</v>
      </c>
      <c r="O33" s="405" t="s">
        <v>309</v>
      </c>
      <c r="P33" s="149">
        <v>115</v>
      </c>
      <c r="Q33" s="149">
        <v>460</v>
      </c>
      <c r="U33" s="405" t="s">
        <v>326</v>
      </c>
    </row>
    <row r="34" spans="1:21" x14ac:dyDescent="0.25">
      <c r="A34" s="405" t="s">
        <v>481</v>
      </c>
      <c r="B34" s="405" t="s">
        <v>48</v>
      </c>
      <c r="G34" s="405" t="s">
        <v>76</v>
      </c>
      <c r="H34" s="405" t="s">
        <v>75</v>
      </c>
      <c r="I34" s="405" t="s">
        <v>460</v>
      </c>
      <c r="J34" s="78">
        <v>41275</v>
      </c>
      <c r="K34" s="149">
        <v>70</v>
      </c>
      <c r="M34" s="405" t="s">
        <v>341</v>
      </c>
      <c r="N34" s="405" t="s">
        <v>342</v>
      </c>
      <c r="O34" s="405" t="s">
        <v>309</v>
      </c>
      <c r="P34" s="149">
        <v>20</v>
      </c>
      <c r="Q34" s="149">
        <v>86</v>
      </c>
      <c r="U34" s="405" t="s">
        <v>316</v>
      </c>
    </row>
    <row r="35" spans="1:21" x14ac:dyDescent="0.25">
      <c r="A35" s="405" t="s">
        <v>481</v>
      </c>
      <c r="B35" s="405" t="s">
        <v>50</v>
      </c>
      <c r="G35" s="405" t="s">
        <v>1719</v>
      </c>
      <c r="H35" s="405" t="s">
        <v>244</v>
      </c>
      <c r="I35" s="405" t="s">
        <v>460</v>
      </c>
      <c r="J35" s="78">
        <v>40695</v>
      </c>
      <c r="K35" s="149">
        <v>42</v>
      </c>
      <c r="M35" s="405" t="s">
        <v>358</v>
      </c>
      <c r="N35" s="405" t="s">
        <v>1052</v>
      </c>
      <c r="O35" s="405" t="s">
        <v>309</v>
      </c>
      <c r="P35" s="149"/>
      <c r="Q35" s="149"/>
      <c r="U35" s="405" t="s">
        <v>341</v>
      </c>
    </row>
    <row r="36" spans="1:21" x14ac:dyDescent="0.25">
      <c r="A36" s="405" t="s">
        <v>481</v>
      </c>
      <c r="B36" s="405" t="s">
        <v>52</v>
      </c>
      <c r="G36" s="405" t="s">
        <v>192</v>
      </c>
      <c r="H36" s="405" t="s">
        <v>191</v>
      </c>
      <c r="I36" s="405" t="s">
        <v>460</v>
      </c>
      <c r="J36" s="78">
        <v>40756</v>
      </c>
      <c r="K36" s="149">
        <v>100</v>
      </c>
      <c r="M36" s="405" t="s">
        <v>357</v>
      </c>
      <c r="N36" s="405" t="s">
        <v>1051</v>
      </c>
      <c r="O36" s="405" t="s">
        <v>309</v>
      </c>
      <c r="P36" s="149"/>
      <c r="Q36" s="149"/>
      <c r="U36" s="405" t="s">
        <v>358</v>
      </c>
    </row>
    <row r="37" spans="1:21" x14ac:dyDescent="0.25">
      <c r="A37" s="405" t="s">
        <v>481</v>
      </c>
      <c r="B37" s="405" t="s">
        <v>58</v>
      </c>
      <c r="G37" s="405" t="s">
        <v>78</v>
      </c>
      <c r="H37" s="405" t="s">
        <v>77</v>
      </c>
      <c r="I37" s="405" t="s">
        <v>777</v>
      </c>
      <c r="J37" s="405" t="s">
        <v>1251</v>
      </c>
      <c r="K37" s="149"/>
      <c r="M37" s="405" t="s">
        <v>308</v>
      </c>
      <c r="N37" s="405" t="s">
        <v>310</v>
      </c>
      <c r="O37" s="405" t="s">
        <v>309</v>
      </c>
      <c r="P37" s="149"/>
      <c r="Q37" s="149"/>
      <c r="U37" s="405" t="s">
        <v>357</v>
      </c>
    </row>
    <row r="38" spans="1:21" x14ac:dyDescent="0.25">
      <c r="A38" s="405" t="s">
        <v>481</v>
      </c>
      <c r="B38" s="405" t="s">
        <v>60</v>
      </c>
      <c r="G38" s="405" t="s">
        <v>82</v>
      </c>
      <c r="H38" s="405" t="s">
        <v>81</v>
      </c>
      <c r="I38" s="405" t="s">
        <v>777</v>
      </c>
      <c r="J38" s="405" t="s">
        <v>1251</v>
      </c>
      <c r="K38" s="149"/>
      <c r="M38" s="405" t="s">
        <v>346</v>
      </c>
      <c r="N38" s="405" t="s">
        <v>347</v>
      </c>
      <c r="O38" s="405" t="s">
        <v>309</v>
      </c>
      <c r="P38" s="149">
        <v>46</v>
      </c>
      <c r="Q38" s="149">
        <v>190</v>
      </c>
      <c r="U38" s="405" t="s">
        <v>308</v>
      </c>
    </row>
    <row r="39" spans="1:21" x14ac:dyDescent="0.25">
      <c r="A39" s="405" t="s">
        <v>481</v>
      </c>
      <c r="B39" s="405" t="s">
        <v>72</v>
      </c>
      <c r="G39" s="405" t="s">
        <v>839</v>
      </c>
      <c r="H39" s="405" t="s">
        <v>840</v>
      </c>
      <c r="I39" s="405" t="s">
        <v>777</v>
      </c>
      <c r="J39" s="405" t="s">
        <v>1251</v>
      </c>
      <c r="K39" s="149">
        <v>0</v>
      </c>
      <c r="M39" s="405" t="s">
        <v>314</v>
      </c>
      <c r="N39" s="405" t="s">
        <v>315</v>
      </c>
      <c r="O39" s="405" t="s">
        <v>309</v>
      </c>
      <c r="P39" s="149">
        <v>69</v>
      </c>
      <c r="Q39" s="149">
        <v>286</v>
      </c>
      <c r="U39" s="405" t="s">
        <v>346</v>
      </c>
    </row>
    <row r="40" spans="1:21" x14ac:dyDescent="0.25">
      <c r="A40" s="405" t="s">
        <v>481</v>
      </c>
      <c r="B40" s="405" t="s">
        <v>70</v>
      </c>
      <c r="G40" s="405" t="s">
        <v>841</v>
      </c>
      <c r="H40" s="405" t="s">
        <v>842</v>
      </c>
      <c r="I40" s="405" t="s">
        <v>777</v>
      </c>
      <c r="J40" s="405" t="s">
        <v>1251</v>
      </c>
      <c r="K40" s="149">
        <v>0</v>
      </c>
      <c r="M40" s="405" t="s">
        <v>324</v>
      </c>
      <c r="N40" s="405" t="s">
        <v>325</v>
      </c>
      <c r="O40" s="405" t="s">
        <v>309</v>
      </c>
      <c r="P40" s="149">
        <v>46</v>
      </c>
      <c r="Q40" s="149">
        <v>193</v>
      </c>
      <c r="U40" s="405" t="s">
        <v>314</v>
      </c>
    </row>
    <row r="41" spans="1:21" x14ac:dyDescent="0.25">
      <c r="A41" s="405" t="s">
        <v>481</v>
      </c>
      <c r="B41" s="405" t="s">
        <v>76</v>
      </c>
      <c r="G41" s="405" t="s">
        <v>32</v>
      </c>
      <c r="H41" s="405" t="s">
        <v>31</v>
      </c>
      <c r="I41" s="405" t="s">
        <v>777</v>
      </c>
      <c r="J41" s="405" t="s">
        <v>1251</v>
      </c>
      <c r="K41" s="149"/>
      <c r="M41" s="405" t="s">
        <v>322</v>
      </c>
      <c r="N41" s="405" t="s">
        <v>323</v>
      </c>
      <c r="O41" s="405" t="s">
        <v>309</v>
      </c>
      <c r="P41" s="149">
        <v>499</v>
      </c>
      <c r="Q41" s="149">
        <v>2543</v>
      </c>
      <c r="U41" s="405" t="s">
        <v>324</v>
      </c>
    </row>
    <row r="42" spans="1:21" x14ac:dyDescent="0.25">
      <c r="A42" s="405" t="s">
        <v>481</v>
      </c>
      <c r="B42" s="405" t="s">
        <v>78</v>
      </c>
      <c r="G42" s="405" t="s">
        <v>1223</v>
      </c>
      <c r="H42" s="405" t="s">
        <v>1211</v>
      </c>
      <c r="I42" s="405" t="s">
        <v>777</v>
      </c>
      <c r="J42" s="405" t="s">
        <v>1251</v>
      </c>
      <c r="K42" s="149"/>
      <c r="M42" s="405" t="s">
        <v>344</v>
      </c>
      <c r="N42" s="405" t="s">
        <v>345</v>
      </c>
      <c r="O42" s="405" t="s">
        <v>309</v>
      </c>
      <c r="P42" s="149">
        <v>182</v>
      </c>
      <c r="Q42" s="149">
        <v>969</v>
      </c>
      <c r="U42" s="405" t="s">
        <v>322</v>
      </c>
    </row>
    <row r="43" spans="1:21" x14ac:dyDescent="0.25">
      <c r="A43" s="405" t="s">
        <v>481</v>
      </c>
      <c r="B43" s="405" t="s">
        <v>82</v>
      </c>
      <c r="G43" s="405" t="s">
        <v>1290</v>
      </c>
      <c r="H43" s="405" t="s">
        <v>1287</v>
      </c>
      <c r="I43" s="405" t="s">
        <v>460</v>
      </c>
      <c r="J43" s="405" t="s">
        <v>1251</v>
      </c>
      <c r="K43" s="149">
        <v>62</v>
      </c>
      <c r="M43" s="405" t="s">
        <v>30</v>
      </c>
      <c r="N43" s="405" t="s">
        <v>28</v>
      </c>
      <c r="O43" s="405" t="s">
        <v>27</v>
      </c>
      <c r="P43" s="149">
        <v>108</v>
      </c>
      <c r="Q43" s="149">
        <v>516</v>
      </c>
      <c r="U43" s="405" t="s">
        <v>344</v>
      </c>
    </row>
    <row r="44" spans="1:21" x14ac:dyDescent="0.25">
      <c r="A44" s="405" t="s">
        <v>481</v>
      </c>
      <c r="B44" s="405" t="s">
        <v>88</v>
      </c>
      <c r="G44" s="405" t="s">
        <v>312</v>
      </c>
      <c r="H44" s="405" t="s">
        <v>311</v>
      </c>
      <c r="I44" s="405" t="s">
        <v>460</v>
      </c>
      <c r="J44" s="78">
        <v>40695</v>
      </c>
      <c r="K44" s="149">
        <v>103</v>
      </c>
      <c r="M44" s="405" t="s">
        <v>29</v>
      </c>
      <c r="N44" s="405" t="s">
        <v>362</v>
      </c>
      <c r="O44" s="405" t="s">
        <v>27</v>
      </c>
      <c r="P44" s="149">
        <v>158</v>
      </c>
      <c r="Q44" s="149">
        <v>981</v>
      </c>
      <c r="U44" s="405" t="s">
        <v>30</v>
      </c>
    </row>
    <row r="45" spans="1:21" x14ac:dyDescent="0.25">
      <c r="A45" s="405" t="s">
        <v>481</v>
      </c>
      <c r="B45" s="405" t="s">
        <v>44</v>
      </c>
      <c r="G45" s="405" t="s">
        <v>335</v>
      </c>
      <c r="H45" s="405" t="s">
        <v>334</v>
      </c>
      <c r="I45" s="405" t="s">
        <v>460</v>
      </c>
      <c r="J45" s="78">
        <v>40878</v>
      </c>
      <c r="K45" s="149">
        <v>149</v>
      </c>
      <c r="M45" s="405" t="s">
        <v>36</v>
      </c>
      <c r="N45" s="405" t="s">
        <v>37</v>
      </c>
      <c r="O45" s="405" t="s">
        <v>27</v>
      </c>
      <c r="P45" s="149"/>
      <c r="Q45" s="149"/>
      <c r="U45" s="405" t="s">
        <v>29</v>
      </c>
    </row>
    <row r="46" spans="1:21" x14ac:dyDescent="0.25">
      <c r="A46" s="405" t="s">
        <v>481</v>
      </c>
      <c r="B46" s="405" t="s">
        <v>56</v>
      </c>
      <c r="G46" s="405" t="s">
        <v>88</v>
      </c>
      <c r="H46" s="405" t="s">
        <v>87</v>
      </c>
      <c r="I46" s="405" t="s">
        <v>460</v>
      </c>
      <c r="J46" s="78">
        <v>41183</v>
      </c>
      <c r="K46" s="149">
        <v>13</v>
      </c>
      <c r="M46" s="405" t="s">
        <v>33</v>
      </c>
      <c r="N46" s="405" t="s">
        <v>34</v>
      </c>
      <c r="O46" s="405" t="s">
        <v>27</v>
      </c>
      <c r="P46" s="149"/>
      <c r="Q46" s="149"/>
      <c r="U46" s="405" t="s">
        <v>36</v>
      </c>
    </row>
    <row r="47" spans="1:21" x14ac:dyDescent="0.25">
      <c r="A47" s="405" t="s">
        <v>481</v>
      </c>
      <c r="B47" s="405" t="s">
        <v>90</v>
      </c>
      <c r="G47" s="405" t="s">
        <v>44</v>
      </c>
      <c r="H47" s="405" t="s">
        <v>45</v>
      </c>
      <c r="I47" s="405" t="s">
        <v>460</v>
      </c>
      <c r="J47" s="78">
        <v>41122</v>
      </c>
      <c r="K47" s="149">
        <v>4</v>
      </c>
      <c r="M47" s="405" t="s">
        <v>31</v>
      </c>
      <c r="N47" s="405" t="s">
        <v>32</v>
      </c>
      <c r="O47" s="405" t="s">
        <v>27</v>
      </c>
      <c r="P47" s="149"/>
      <c r="Q47" s="149"/>
      <c r="U47" s="405" t="s">
        <v>33</v>
      </c>
    </row>
    <row r="48" spans="1:21" x14ac:dyDescent="0.25">
      <c r="A48" s="405" t="s">
        <v>481</v>
      </c>
      <c r="B48" s="405" t="s">
        <v>92</v>
      </c>
      <c r="G48" s="405" t="s">
        <v>56</v>
      </c>
      <c r="H48" s="405" t="s">
        <v>55</v>
      </c>
      <c r="I48" s="405" t="s">
        <v>777</v>
      </c>
      <c r="J48" s="405" t="s">
        <v>1251</v>
      </c>
      <c r="K48" s="149">
        <v>0</v>
      </c>
      <c r="M48" s="405" t="s">
        <v>21</v>
      </c>
      <c r="N48" s="405" t="s">
        <v>22</v>
      </c>
      <c r="O48" s="405" t="s">
        <v>5</v>
      </c>
      <c r="P48" s="149">
        <v>638</v>
      </c>
      <c r="Q48" s="149">
        <v>3971</v>
      </c>
      <c r="U48" s="405" t="s">
        <v>31</v>
      </c>
    </row>
    <row r="49" spans="1:21" x14ac:dyDescent="0.25">
      <c r="A49" s="405" t="s">
        <v>481</v>
      </c>
      <c r="B49" s="405" t="s">
        <v>94</v>
      </c>
      <c r="G49" s="405" t="s">
        <v>993</v>
      </c>
      <c r="H49" s="405" t="s">
        <v>995</v>
      </c>
      <c r="I49" s="405" t="s">
        <v>460</v>
      </c>
      <c r="J49" s="78">
        <v>41275</v>
      </c>
      <c r="K49" s="149">
        <v>27</v>
      </c>
      <c r="M49" s="405" t="s">
        <v>15</v>
      </c>
      <c r="N49" s="405" t="s">
        <v>16</v>
      </c>
      <c r="O49" s="405" t="s">
        <v>5</v>
      </c>
      <c r="P49" s="149"/>
      <c r="Q49" s="149"/>
      <c r="U49" s="405" t="s">
        <v>21</v>
      </c>
    </row>
    <row r="50" spans="1:21" x14ac:dyDescent="0.25">
      <c r="A50" s="405" t="s">
        <v>481</v>
      </c>
      <c r="B50" s="405" t="s">
        <v>54</v>
      </c>
      <c r="G50" s="405" t="s">
        <v>12</v>
      </c>
      <c r="H50" s="405" t="s">
        <v>11</v>
      </c>
      <c r="I50" s="405" t="s">
        <v>460</v>
      </c>
      <c r="J50" s="405" t="s">
        <v>1251</v>
      </c>
      <c r="K50" s="149">
        <v>197</v>
      </c>
      <c r="M50" s="405" t="s">
        <v>17</v>
      </c>
      <c r="N50" s="405" t="s">
        <v>18</v>
      </c>
      <c r="O50" s="405" t="s">
        <v>5</v>
      </c>
      <c r="P50" s="149">
        <v>129</v>
      </c>
      <c r="Q50" s="149">
        <v>740</v>
      </c>
      <c r="U50" s="405" t="s">
        <v>15</v>
      </c>
    </row>
    <row r="51" spans="1:21" x14ac:dyDescent="0.25">
      <c r="A51" s="405" t="s">
        <v>481</v>
      </c>
      <c r="B51" s="405" t="s">
        <v>66</v>
      </c>
      <c r="G51" s="405" t="s">
        <v>12</v>
      </c>
      <c r="H51" s="405" t="s">
        <v>388</v>
      </c>
      <c r="I51" s="405" t="s">
        <v>460</v>
      </c>
      <c r="J51" s="405" t="s">
        <v>1251</v>
      </c>
      <c r="K51" s="149">
        <v>73</v>
      </c>
      <c r="M51" s="405" t="s">
        <v>4</v>
      </c>
      <c r="N51" s="405" t="s">
        <v>6</v>
      </c>
      <c r="O51" s="405" t="s">
        <v>5</v>
      </c>
      <c r="P51" s="149">
        <v>257</v>
      </c>
      <c r="Q51" s="149">
        <v>1266</v>
      </c>
      <c r="U51" s="405" t="s">
        <v>17</v>
      </c>
    </row>
    <row r="52" spans="1:21" x14ac:dyDescent="0.25">
      <c r="A52" s="405" t="s">
        <v>481</v>
      </c>
      <c r="B52" s="405" t="s">
        <v>80</v>
      </c>
      <c r="G52" s="405" t="s">
        <v>12</v>
      </c>
      <c r="H52" s="405" t="s">
        <v>389</v>
      </c>
      <c r="I52" s="405" t="s">
        <v>460</v>
      </c>
      <c r="J52" s="405" t="s">
        <v>1251</v>
      </c>
      <c r="K52" s="149">
        <v>226</v>
      </c>
      <c r="M52" s="405" t="s">
        <v>7</v>
      </c>
      <c r="N52" s="405" t="s">
        <v>8</v>
      </c>
      <c r="O52" s="405" t="s">
        <v>5</v>
      </c>
      <c r="P52" s="149">
        <v>13</v>
      </c>
      <c r="Q52" s="149">
        <v>58</v>
      </c>
      <c r="U52" s="405" t="s">
        <v>4</v>
      </c>
    </row>
    <row r="53" spans="1:21" x14ac:dyDescent="0.25">
      <c r="A53" s="405" t="s">
        <v>481</v>
      </c>
      <c r="B53" s="405" t="s">
        <v>102</v>
      </c>
      <c r="G53" s="405" t="s">
        <v>12</v>
      </c>
      <c r="H53" s="405" t="s">
        <v>391</v>
      </c>
      <c r="I53" s="405" t="s">
        <v>777</v>
      </c>
      <c r="J53" s="405" t="s">
        <v>1251</v>
      </c>
      <c r="K53" s="149"/>
      <c r="M53" s="405" t="s">
        <v>13</v>
      </c>
      <c r="N53" s="405" t="s">
        <v>14</v>
      </c>
      <c r="O53" s="405" t="s">
        <v>5</v>
      </c>
      <c r="P53" s="149">
        <v>39</v>
      </c>
      <c r="Q53" s="149">
        <v>225</v>
      </c>
      <c r="U53" s="405" t="s">
        <v>7</v>
      </c>
    </row>
    <row r="54" spans="1:21" x14ac:dyDescent="0.25">
      <c r="A54" s="405" t="s">
        <v>481</v>
      </c>
      <c r="B54" s="405" t="s">
        <v>106</v>
      </c>
      <c r="G54" s="405" t="s">
        <v>169</v>
      </c>
      <c r="H54" s="405" t="s">
        <v>168</v>
      </c>
      <c r="I54" s="405" t="s">
        <v>777</v>
      </c>
      <c r="J54" s="405" t="s">
        <v>1251</v>
      </c>
      <c r="K54" s="149"/>
      <c r="M54" s="405" t="s">
        <v>25</v>
      </c>
      <c r="N54" s="405" t="s">
        <v>26</v>
      </c>
      <c r="O54" s="405" t="s">
        <v>5</v>
      </c>
      <c r="P54" s="149">
        <v>14</v>
      </c>
      <c r="Q54" s="149">
        <v>74</v>
      </c>
      <c r="U54" s="405" t="s">
        <v>13</v>
      </c>
    </row>
    <row r="55" spans="1:21" x14ac:dyDescent="0.25">
      <c r="A55" s="405" t="s">
        <v>481</v>
      </c>
      <c r="B55" s="405" t="s">
        <v>116</v>
      </c>
      <c r="G55" s="405" t="s">
        <v>717</v>
      </c>
      <c r="H55" s="405" t="s">
        <v>1278</v>
      </c>
      <c r="I55" s="405" t="s">
        <v>460</v>
      </c>
      <c r="J55" s="405" t="s">
        <v>1251</v>
      </c>
      <c r="K55" s="149">
        <v>154</v>
      </c>
      <c r="M55" s="405" t="s">
        <v>19</v>
      </c>
      <c r="N55" s="405" t="s">
        <v>20</v>
      </c>
      <c r="O55" s="405" t="s">
        <v>5</v>
      </c>
      <c r="P55" s="149">
        <v>21</v>
      </c>
      <c r="Q55" s="149">
        <v>113</v>
      </c>
      <c r="U55" s="405" t="s">
        <v>25</v>
      </c>
    </row>
    <row r="56" spans="1:21" x14ac:dyDescent="0.25">
      <c r="A56" s="405" t="s">
        <v>481</v>
      </c>
      <c r="B56" s="405" t="s">
        <v>130</v>
      </c>
      <c r="G56" s="405" t="s">
        <v>231</v>
      </c>
      <c r="H56" s="405" t="s">
        <v>386</v>
      </c>
      <c r="I56" s="405" t="s">
        <v>460</v>
      </c>
      <c r="J56" s="405" t="s">
        <v>1251</v>
      </c>
      <c r="K56" s="149">
        <v>32</v>
      </c>
      <c r="M56" s="405" t="s">
        <v>23</v>
      </c>
      <c r="N56" s="405" t="s">
        <v>24</v>
      </c>
      <c r="O56" s="405" t="s">
        <v>5</v>
      </c>
      <c r="P56" s="149">
        <v>20</v>
      </c>
      <c r="Q56" s="149">
        <v>95</v>
      </c>
      <c r="U56" s="405" t="s">
        <v>19</v>
      </c>
    </row>
    <row r="57" spans="1:21" x14ac:dyDescent="0.25">
      <c r="A57" s="405" t="s">
        <v>481</v>
      </c>
      <c r="B57" s="405" t="s">
        <v>138</v>
      </c>
      <c r="G57" s="405" t="s">
        <v>919</v>
      </c>
      <c r="H57" s="405" t="s">
        <v>920</v>
      </c>
      <c r="I57" s="405" t="s">
        <v>460</v>
      </c>
      <c r="J57" s="78">
        <v>41122</v>
      </c>
      <c r="K57" s="149">
        <v>103</v>
      </c>
      <c r="M57" s="405" t="s">
        <v>208</v>
      </c>
      <c r="N57" s="405" t="s">
        <v>209</v>
      </c>
      <c r="O57" s="405" t="s">
        <v>185</v>
      </c>
      <c r="P57" s="149">
        <v>387</v>
      </c>
      <c r="Q57" s="149">
        <v>1874</v>
      </c>
      <c r="U57" s="405" t="s">
        <v>23</v>
      </c>
    </row>
    <row r="58" spans="1:21" x14ac:dyDescent="0.25">
      <c r="A58" s="405" t="s">
        <v>481</v>
      </c>
      <c r="B58" s="405" t="s">
        <v>136</v>
      </c>
      <c r="G58" s="405" t="s">
        <v>362</v>
      </c>
      <c r="H58" s="405" t="s">
        <v>29</v>
      </c>
      <c r="I58" s="405" t="s">
        <v>460</v>
      </c>
      <c r="J58" s="78">
        <v>41030</v>
      </c>
      <c r="K58" s="149">
        <v>158</v>
      </c>
      <c r="M58" s="405" t="s">
        <v>210</v>
      </c>
      <c r="N58" s="405" t="s">
        <v>211</v>
      </c>
      <c r="O58" s="405" t="s">
        <v>185</v>
      </c>
      <c r="P58" s="149"/>
      <c r="Q58" s="149"/>
      <c r="U58" s="405" t="s">
        <v>208</v>
      </c>
    </row>
    <row r="59" spans="1:21" x14ac:dyDescent="0.25">
      <c r="A59" s="405" t="s">
        <v>481</v>
      </c>
      <c r="B59" s="405" t="s">
        <v>68</v>
      </c>
      <c r="G59" s="405" t="s">
        <v>194</v>
      </c>
      <c r="H59" s="405" t="s">
        <v>193</v>
      </c>
      <c r="I59" s="405" t="s">
        <v>460</v>
      </c>
      <c r="J59" s="78">
        <v>40695</v>
      </c>
      <c r="K59" s="149">
        <v>717</v>
      </c>
      <c r="M59" s="405" t="s">
        <v>206</v>
      </c>
      <c r="N59" s="405" t="s">
        <v>207</v>
      </c>
      <c r="O59" s="405" t="s">
        <v>185</v>
      </c>
      <c r="P59" s="149"/>
      <c r="Q59" s="149"/>
      <c r="U59" s="405" t="s">
        <v>210</v>
      </c>
    </row>
    <row r="60" spans="1:21" x14ac:dyDescent="0.25">
      <c r="A60" s="405" t="s">
        <v>481</v>
      </c>
      <c r="B60" s="405" t="s">
        <v>84</v>
      </c>
      <c r="G60" s="405" t="s">
        <v>14</v>
      </c>
      <c r="H60" s="405" t="s">
        <v>13</v>
      </c>
      <c r="I60" s="405" t="s">
        <v>460</v>
      </c>
      <c r="J60" s="78">
        <v>40878</v>
      </c>
      <c r="K60" s="149">
        <v>39</v>
      </c>
      <c r="M60" s="405" t="s">
        <v>216</v>
      </c>
      <c r="N60" s="405" t="s">
        <v>217</v>
      </c>
      <c r="O60" s="405" t="s">
        <v>185</v>
      </c>
      <c r="P60" s="149"/>
      <c r="Q60" s="149"/>
      <c r="U60" s="405" t="s">
        <v>206</v>
      </c>
    </row>
    <row r="61" spans="1:21" x14ac:dyDescent="0.25">
      <c r="A61" s="405" t="s">
        <v>481</v>
      </c>
      <c r="B61" s="405" t="s">
        <v>86</v>
      </c>
      <c r="G61" s="405" t="s">
        <v>753</v>
      </c>
      <c r="H61" s="405" t="s">
        <v>754</v>
      </c>
      <c r="I61" s="405" t="s">
        <v>460</v>
      </c>
      <c r="J61" s="405" t="s">
        <v>1251</v>
      </c>
      <c r="K61" s="149"/>
      <c r="M61" s="405" t="s">
        <v>226</v>
      </c>
      <c r="N61" s="405" t="s">
        <v>227</v>
      </c>
      <c r="O61" s="405" t="s">
        <v>185</v>
      </c>
      <c r="P61" s="149"/>
      <c r="Q61" s="149"/>
      <c r="U61" s="405" t="s">
        <v>216</v>
      </c>
    </row>
    <row r="62" spans="1:21" x14ac:dyDescent="0.25">
      <c r="A62" s="405" t="s">
        <v>481</v>
      </c>
      <c r="B62" s="405" t="s">
        <v>100</v>
      </c>
      <c r="G62" s="405" t="s">
        <v>812</v>
      </c>
      <c r="H62" s="405" t="s">
        <v>811</v>
      </c>
      <c r="I62" s="405" t="s">
        <v>777</v>
      </c>
      <c r="J62" s="405" t="s">
        <v>1251</v>
      </c>
      <c r="K62" s="149">
        <v>0</v>
      </c>
      <c r="M62" s="405" t="s">
        <v>212</v>
      </c>
      <c r="N62" s="405" t="s">
        <v>213</v>
      </c>
      <c r="O62" s="405" t="s">
        <v>185</v>
      </c>
      <c r="P62" s="149">
        <v>44</v>
      </c>
      <c r="Q62" s="149">
        <v>143</v>
      </c>
      <c r="U62" s="405" t="s">
        <v>226</v>
      </c>
    </row>
    <row r="63" spans="1:21" x14ac:dyDescent="0.25">
      <c r="A63" s="405" t="s">
        <v>481</v>
      </c>
      <c r="B63" s="405" t="s">
        <v>104</v>
      </c>
      <c r="G63" s="405" t="s">
        <v>896</v>
      </c>
      <c r="H63" s="405" t="s">
        <v>897</v>
      </c>
      <c r="I63" s="405" t="s">
        <v>460</v>
      </c>
      <c r="J63" s="78">
        <v>41487</v>
      </c>
      <c r="K63" s="149">
        <v>10</v>
      </c>
      <c r="M63" s="405" t="s">
        <v>201</v>
      </c>
      <c r="N63" s="405" t="s">
        <v>202</v>
      </c>
      <c r="O63" s="405" t="s">
        <v>185</v>
      </c>
      <c r="P63" s="149">
        <v>265</v>
      </c>
      <c r="Q63" s="149">
        <v>1181</v>
      </c>
      <c r="U63" s="405" t="s">
        <v>212</v>
      </c>
    </row>
    <row r="64" spans="1:21" x14ac:dyDescent="0.25">
      <c r="A64" s="405" t="s">
        <v>481</v>
      </c>
      <c r="B64" s="405" t="s">
        <v>98</v>
      </c>
      <c r="G64" s="405" t="s">
        <v>252</v>
      </c>
      <c r="H64" s="405" t="s">
        <v>251</v>
      </c>
      <c r="I64" s="405" t="s">
        <v>460</v>
      </c>
      <c r="J64" s="78">
        <v>40725</v>
      </c>
      <c r="K64" s="149">
        <v>199</v>
      </c>
      <c r="M64" s="405" t="s">
        <v>203</v>
      </c>
      <c r="N64" s="405" t="s">
        <v>204</v>
      </c>
      <c r="O64" s="405" t="s">
        <v>185</v>
      </c>
      <c r="P64" s="149"/>
      <c r="Q64" s="149"/>
      <c r="U64" s="405" t="s">
        <v>201</v>
      </c>
    </row>
    <row r="65" spans="1:21" x14ac:dyDescent="0.25">
      <c r="A65" s="405" t="s">
        <v>481</v>
      </c>
      <c r="B65" s="405" t="s">
        <v>142</v>
      </c>
      <c r="G65" s="405" t="s">
        <v>254</v>
      </c>
      <c r="H65" s="405" t="s">
        <v>253</v>
      </c>
      <c r="I65" s="405" t="s">
        <v>460</v>
      </c>
      <c r="J65" s="78">
        <v>40725</v>
      </c>
      <c r="K65" s="149">
        <v>88</v>
      </c>
      <c r="M65" s="405" t="s">
        <v>199</v>
      </c>
      <c r="N65" s="405" t="s">
        <v>200</v>
      </c>
      <c r="O65" s="405" t="s">
        <v>185</v>
      </c>
      <c r="P65" s="149"/>
      <c r="Q65" s="149"/>
      <c r="U65" s="405" t="s">
        <v>203</v>
      </c>
    </row>
    <row r="66" spans="1:21" x14ac:dyDescent="0.25">
      <c r="A66" s="405" t="s">
        <v>481</v>
      </c>
      <c r="B66" s="405" t="s">
        <v>552</v>
      </c>
      <c r="G66" s="405" t="s">
        <v>196</v>
      </c>
      <c r="H66" s="405" t="s">
        <v>195</v>
      </c>
      <c r="I66" s="405" t="s">
        <v>460</v>
      </c>
      <c r="J66" s="78">
        <v>41061</v>
      </c>
      <c r="K66" s="149">
        <v>1518</v>
      </c>
      <c r="M66" s="405" t="s">
        <v>220</v>
      </c>
      <c r="N66" s="405" t="s">
        <v>221</v>
      </c>
      <c r="O66" s="405" t="s">
        <v>185</v>
      </c>
      <c r="P66" s="149"/>
      <c r="Q66" s="149"/>
      <c r="U66" s="405" t="s">
        <v>199</v>
      </c>
    </row>
    <row r="67" spans="1:21" x14ac:dyDescent="0.25">
      <c r="A67" s="405" t="s">
        <v>481</v>
      </c>
      <c r="B67" s="405" t="s">
        <v>108</v>
      </c>
      <c r="G67" s="405" t="s">
        <v>1229</v>
      </c>
      <c r="H67" s="405" t="s">
        <v>1207</v>
      </c>
      <c r="I67" s="405" t="s">
        <v>777</v>
      </c>
      <c r="J67" s="405" t="s">
        <v>1251</v>
      </c>
      <c r="K67" s="149"/>
      <c r="M67" s="405" t="s">
        <v>150</v>
      </c>
      <c r="N67" s="405" t="s">
        <v>152</v>
      </c>
      <c r="O67" s="405" t="s">
        <v>151</v>
      </c>
      <c r="P67" s="149">
        <v>187</v>
      </c>
      <c r="Q67" s="149">
        <v>838</v>
      </c>
      <c r="U67" s="405" t="s">
        <v>220</v>
      </c>
    </row>
    <row r="68" spans="1:21" x14ac:dyDescent="0.25">
      <c r="A68" s="405" t="s">
        <v>481</v>
      </c>
      <c r="B68" s="405" t="s">
        <v>110</v>
      </c>
      <c r="G68" s="405" t="s">
        <v>1727</v>
      </c>
      <c r="H68" s="405" t="s">
        <v>789</v>
      </c>
      <c r="I68" s="405" t="s">
        <v>460</v>
      </c>
      <c r="J68" s="78">
        <v>42929</v>
      </c>
      <c r="K68" s="149">
        <v>23</v>
      </c>
      <c r="M68" s="405" t="s">
        <v>304</v>
      </c>
      <c r="N68" s="405" t="s">
        <v>305</v>
      </c>
      <c r="O68" s="405" t="s">
        <v>301</v>
      </c>
      <c r="P68" s="149">
        <v>86</v>
      </c>
      <c r="Q68" s="149">
        <v>309</v>
      </c>
      <c r="U68" s="405" t="s">
        <v>150</v>
      </c>
    </row>
    <row r="69" spans="1:21" x14ac:dyDescent="0.25">
      <c r="A69" s="405" t="s">
        <v>481</v>
      </c>
      <c r="B69" s="405" t="s">
        <v>112</v>
      </c>
      <c r="G69" s="405" t="s">
        <v>1239</v>
      </c>
      <c r="H69" s="405" t="s">
        <v>1206</v>
      </c>
      <c r="I69" s="405" t="s">
        <v>777</v>
      </c>
      <c r="J69" s="405" t="s">
        <v>1251</v>
      </c>
      <c r="K69" s="149"/>
      <c r="M69" s="405" t="s">
        <v>306</v>
      </c>
      <c r="N69" s="405" t="s">
        <v>307</v>
      </c>
      <c r="O69" s="405" t="s">
        <v>301</v>
      </c>
      <c r="P69" s="149">
        <v>46</v>
      </c>
      <c r="Q69" s="149">
        <v>177</v>
      </c>
      <c r="U69" s="405" t="s">
        <v>304</v>
      </c>
    </row>
    <row r="70" spans="1:21" x14ac:dyDescent="0.25">
      <c r="A70" s="405" t="s">
        <v>481</v>
      </c>
      <c r="B70" s="405" t="s">
        <v>114</v>
      </c>
      <c r="G70" s="405" t="s">
        <v>16</v>
      </c>
      <c r="H70" s="405" t="s">
        <v>15</v>
      </c>
      <c r="I70" s="405" t="s">
        <v>777</v>
      </c>
      <c r="J70" s="405" t="s">
        <v>1251</v>
      </c>
      <c r="K70" s="149"/>
      <c r="M70" s="405" t="s">
        <v>222</v>
      </c>
      <c r="N70" s="405" t="s">
        <v>223</v>
      </c>
      <c r="O70" s="405" t="s">
        <v>185</v>
      </c>
      <c r="P70" s="149">
        <v>129</v>
      </c>
      <c r="Q70" s="149">
        <v>640</v>
      </c>
      <c r="U70" s="405" t="s">
        <v>306</v>
      </c>
    </row>
    <row r="71" spans="1:21" x14ac:dyDescent="0.25">
      <c r="A71" s="405" t="s">
        <v>481</v>
      </c>
      <c r="B71" s="405" t="s">
        <v>118</v>
      </c>
      <c r="G71" s="405" t="s">
        <v>1228</v>
      </c>
      <c r="H71" s="405" t="s">
        <v>1204</v>
      </c>
      <c r="I71" s="405" t="s">
        <v>777</v>
      </c>
      <c r="J71" s="405" t="s">
        <v>1251</v>
      </c>
      <c r="K71" s="149"/>
      <c r="M71" s="405" t="s">
        <v>189</v>
      </c>
      <c r="N71" s="405" t="s">
        <v>190</v>
      </c>
      <c r="O71" s="405" t="s">
        <v>185</v>
      </c>
      <c r="P71" s="149">
        <v>199</v>
      </c>
      <c r="Q71" s="149">
        <v>1105</v>
      </c>
      <c r="U71" s="405" t="s">
        <v>222</v>
      </c>
    </row>
    <row r="72" spans="1:21" x14ac:dyDescent="0.25">
      <c r="A72" s="405" t="s">
        <v>481</v>
      </c>
      <c r="B72" s="405" t="s">
        <v>122</v>
      </c>
      <c r="G72" s="405" t="s">
        <v>475</v>
      </c>
      <c r="H72" s="405" t="s">
        <v>476</v>
      </c>
      <c r="I72" s="405" t="s">
        <v>460</v>
      </c>
      <c r="J72" s="405" t="s">
        <v>1251</v>
      </c>
      <c r="K72" s="149">
        <v>3</v>
      </c>
      <c r="M72" s="405" t="s">
        <v>184</v>
      </c>
      <c r="N72" s="405" t="s">
        <v>186</v>
      </c>
      <c r="O72" s="405" t="s">
        <v>185</v>
      </c>
      <c r="P72" s="149">
        <v>40</v>
      </c>
      <c r="Q72" s="149">
        <v>241</v>
      </c>
      <c r="U72" s="405" t="s">
        <v>189</v>
      </c>
    </row>
    <row r="73" spans="1:21" x14ac:dyDescent="0.25">
      <c r="A73" s="405" t="s">
        <v>481</v>
      </c>
      <c r="B73" s="405" t="s">
        <v>124</v>
      </c>
      <c r="G73" s="405" t="s">
        <v>370</v>
      </c>
      <c r="H73" s="405" t="s">
        <v>380</v>
      </c>
      <c r="I73" s="405" t="s">
        <v>777</v>
      </c>
      <c r="J73" s="78">
        <v>41275</v>
      </c>
      <c r="K73" s="149"/>
      <c r="M73" s="405" t="s">
        <v>228</v>
      </c>
      <c r="N73" s="405" t="s">
        <v>229</v>
      </c>
      <c r="O73" s="405" t="s">
        <v>185</v>
      </c>
      <c r="P73" s="149">
        <v>49</v>
      </c>
      <c r="Q73" s="149">
        <v>300</v>
      </c>
      <c r="U73" s="405" t="s">
        <v>184</v>
      </c>
    </row>
    <row r="74" spans="1:21" x14ac:dyDescent="0.25">
      <c r="A74" s="405" t="s">
        <v>481</v>
      </c>
      <c r="B74" s="405" t="s">
        <v>96</v>
      </c>
      <c r="G74" s="405" t="s">
        <v>964</v>
      </c>
      <c r="H74" s="405" t="s">
        <v>965</v>
      </c>
      <c r="I74" s="405" t="s">
        <v>777</v>
      </c>
      <c r="J74" s="78">
        <v>42019</v>
      </c>
      <c r="K74" s="149"/>
      <c r="M74" s="405" t="s">
        <v>224</v>
      </c>
      <c r="N74" s="405" t="s">
        <v>225</v>
      </c>
      <c r="O74" s="405" t="s">
        <v>185</v>
      </c>
      <c r="P74" s="149">
        <v>41</v>
      </c>
      <c r="Q74" s="149">
        <v>245</v>
      </c>
      <c r="U74" s="405" t="s">
        <v>228</v>
      </c>
    </row>
    <row r="75" spans="1:21" x14ac:dyDescent="0.25">
      <c r="A75" s="405" t="s">
        <v>481</v>
      </c>
      <c r="B75" s="405" t="s">
        <v>132</v>
      </c>
      <c r="G75" s="405" t="s">
        <v>367</v>
      </c>
      <c r="H75" s="405" t="s">
        <v>381</v>
      </c>
      <c r="I75" s="405" t="s">
        <v>460</v>
      </c>
      <c r="J75" s="78">
        <v>41244</v>
      </c>
      <c r="K75" s="149">
        <v>58</v>
      </c>
      <c r="M75" s="405" t="s">
        <v>143</v>
      </c>
      <c r="N75" s="405" t="s">
        <v>145</v>
      </c>
      <c r="O75" s="405" t="s">
        <v>144</v>
      </c>
      <c r="P75" s="149"/>
      <c r="Q75" s="149"/>
      <c r="U75" s="405" t="s">
        <v>224</v>
      </c>
    </row>
    <row r="76" spans="1:21" x14ac:dyDescent="0.25">
      <c r="A76" s="405" t="s">
        <v>481</v>
      </c>
      <c r="B76" s="405" t="s">
        <v>134</v>
      </c>
      <c r="G76" s="405" t="s">
        <v>1263</v>
      </c>
      <c r="H76" s="405" t="s">
        <v>1262</v>
      </c>
      <c r="I76" s="405" t="s">
        <v>460</v>
      </c>
      <c r="J76" s="78">
        <v>42724</v>
      </c>
      <c r="K76" s="149">
        <v>36</v>
      </c>
      <c r="M76" s="405" t="s">
        <v>298</v>
      </c>
      <c r="N76" s="405" t="s">
        <v>300</v>
      </c>
      <c r="O76" s="405" t="s">
        <v>299</v>
      </c>
      <c r="P76" s="149">
        <v>14</v>
      </c>
      <c r="Q76" s="149">
        <v>75</v>
      </c>
      <c r="U76" s="405" t="s">
        <v>143</v>
      </c>
    </row>
    <row r="77" spans="1:21" x14ac:dyDescent="0.25">
      <c r="A77" s="405" t="s">
        <v>481</v>
      </c>
      <c r="B77" s="405" t="s">
        <v>64</v>
      </c>
      <c r="G77" s="405" t="s">
        <v>368</v>
      </c>
      <c r="H77" s="405" t="s">
        <v>382</v>
      </c>
      <c r="I77" s="405" t="s">
        <v>460</v>
      </c>
      <c r="J77" s="78">
        <v>41244</v>
      </c>
      <c r="K77" s="149">
        <v>29</v>
      </c>
      <c r="M77" s="405" t="s">
        <v>175</v>
      </c>
      <c r="N77" s="405" t="s">
        <v>1696</v>
      </c>
      <c r="O77" s="405" t="s">
        <v>173</v>
      </c>
      <c r="P77" s="149">
        <v>16</v>
      </c>
      <c r="Q77" s="149">
        <v>79</v>
      </c>
      <c r="U77" s="405" t="s">
        <v>298</v>
      </c>
    </row>
    <row r="78" spans="1:21" x14ac:dyDescent="0.25">
      <c r="A78" s="405" t="s">
        <v>481</v>
      </c>
      <c r="B78" s="405" t="s">
        <v>126</v>
      </c>
      <c r="G78" s="405" t="s">
        <v>1425</v>
      </c>
      <c r="H78" s="405" t="s">
        <v>1424</v>
      </c>
      <c r="I78" s="405" t="s">
        <v>460</v>
      </c>
      <c r="J78" s="78">
        <v>42781</v>
      </c>
      <c r="K78" s="149">
        <v>59</v>
      </c>
      <c r="M78" s="405" t="s">
        <v>172</v>
      </c>
      <c r="N78" s="405" t="s">
        <v>174</v>
      </c>
      <c r="O78" s="405" t="s">
        <v>173</v>
      </c>
      <c r="P78" s="149">
        <v>13</v>
      </c>
      <c r="Q78" s="149">
        <v>66</v>
      </c>
      <c r="U78" s="405" t="s">
        <v>175</v>
      </c>
    </row>
    <row r="79" spans="1:21" x14ac:dyDescent="0.25">
      <c r="A79" s="405" t="s">
        <v>481</v>
      </c>
      <c r="B79" s="405" t="s">
        <v>74</v>
      </c>
      <c r="G79" s="405" t="s">
        <v>256</v>
      </c>
      <c r="H79" s="405" t="s">
        <v>255</v>
      </c>
      <c r="I79" s="405" t="s">
        <v>460</v>
      </c>
      <c r="J79" s="78">
        <v>40909</v>
      </c>
      <c r="K79" s="149">
        <v>43</v>
      </c>
      <c r="M79" s="405" t="s">
        <v>177</v>
      </c>
      <c r="N79" s="405" t="s">
        <v>178</v>
      </c>
      <c r="O79" s="405" t="s">
        <v>173</v>
      </c>
      <c r="P79" s="149">
        <v>11</v>
      </c>
      <c r="Q79" s="149">
        <v>40</v>
      </c>
      <c r="U79" s="405" t="s">
        <v>172</v>
      </c>
    </row>
    <row r="80" spans="1:21" x14ac:dyDescent="0.25">
      <c r="A80" s="405" t="s">
        <v>481</v>
      </c>
      <c r="B80" s="405" t="s">
        <v>140</v>
      </c>
      <c r="G80" s="405" t="s">
        <v>174</v>
      </c>
      <c r="H80" s="405" t="s">
        <v>172</v>
      </c>
      <c r="I80" s="405" t="s">
        <v>460</v>
      </c>
      <c r="J80" s="78">
        <v>41030</v>
      </c>
      <c r="K80" s="149">
        <v>13</v>
      </c>
      <c r="M80" s="405" t="s">
        <v>179</v>
      </c>
      <c r="N80" s="405" t="s">
        <v>181</v>
      </c>
      <c r="O80" s="405" t="s">
        <v>180</v>
      </c>
      <c r="P80" s="149">
        <v>11</v>
      </c>
      <c r="Q80" s="149">
        <v>51</v>
      </c>
      <c r="U80" s="405" t="s">
        <v>177</v>
      </c>
    </row>
    <row r="81" spans="1:21" x14ac:dyDescent="0.25">
      <c r="A81" s="405" t="s">
        <v>481</v>
      </c>
      <c r="B81" s="405" t="s">
        <v>468</v>
      </c>
      <c r="G81" s="405" t="s">
        <v>145</v>
      </c>
      <c r="H81" s="405" t="s">
        <v>143</v>
      </c>
      <c r="I81" s="405" t="s">
        <v>777</v>
      </c>
      <c r="J81" s="405" t="s">
        <v>1251</v>
      </c>
      <c r="K81" s="149"/>
      <c r="M81" s="405" t="s">
        <v>182</v>
      </c>
      <c r="N81" s="405" t="s">
        <v>183</v>
      </c>
      <c r="O81" s="405" t="s">
        <v>180</v>
      </c>
      <c r="P81" s="149">
        <v>0</v>
      </c>
      <c r="Q81" s="149">
        <v>0</v>
      </c>
      <c r="U81" s="405" t="s">
        <v>179</v>
      </c>
    </row>
    <row r="82" spans="1:21" x14ac:dyDescent="0.25">
      <c r="A82" s="405" t="s">
        <v>481</v>
      </c>
      <c r="B82" s="405" t="s">
        <v>919</v>
      </c>
      <c r="G82" s="405" t="s">
        <v>470</v>
      </c>
      <c r="H82" s="405" t="s">
        <v>471</v>
      </c>
      <c r="I82" s="405" t="s">
        <v>777</v>
      </c>
      <c r="J82" s="78">
        <v>41365</v>
      </c>
      <c r="K82" s="149">
        <v>0</v>
      </c>
      <c r="M82" s="405" t="s">
        <v>109</v>
      </c>
      <c r="N82" s="405" t="s">
        <v>110</v>
      </c>
      <c r="O82" s="405" t="s">
        <v>481</v>
      </c>
      <c r="P82" s="149">
        <v>0</v>
      </c>
      <c r="Q82" s="149">
        <v>0</v>
      </c>
      <c r="U82" s="405" t="s">
        <v>182</v>
      </c>
    </row>
    <row r="83" spans="1:21" x14ac:dyDescent="0.25">
      <c r="A83" s="405" t="s">
        <v>481</v>
      </c>
      <c r="B83" s="405" t="s">
        <v>964</v>
      </c>
      <c r="G83" s="405" t="s">
        <v>1053</v>
      </c>
      <c r="H83" s="405" t="s">
        <v>313</v>
      </c>
      <c r="I83" s="405" t="s">
        <v>777</v>
      </c>
      <c r="J83" s="78">
        <v>40695</v>
      </c>
      <c r="K83" s="149">
        <v>0</v>
      </c>
      <c r="M83" s="405" t="s">
        <v>111</v>
      </c>
      <c r="N83" s="405" t="s">
        <v>112</v>
      </c>
      <c r="O83" s="405" t="s">
        <v>481</v>
      </c>
      <c r="P83" s="149">
        <v>0</v>
      </c>
      <c r="Q83" s="149">
        <v>0</v>
      </c>
      <c r="U83" s="405" t="s">
        <v>109</v>
      </c>
    </row>
    <row r="84" spans="1:21" x14ac:dyDescent="0.25">
      <c r="A84" s="405" t="s">
        <v>481</v>
      </c>
      <c r="B84" s="405" t="s">
        <v>1162</v>
      </c>
      <c r="G84" s="405" t="s">
        <v>34</v>
      </c>
      <c r="H84" s="405" t="s">
        <v>33</v>
      </c>
      <c r="I84" s="405" t="s">
        <v>777</v>
      </c>
      <c r="J84" s="405" t="s">
        <v>1251</v>
      </c>
      <c r="K84" s="149"/>
      <c r="M84" s="405" t="s">
        <v>85</v>
      </c>
      <c r="N84" s="405" t="s">
        <v>86</v>
      </c>
      <c r="O84" s="405" t="s">
        <v>481</v>
      </c>
      <c r="P84" s="149">
        <v>0</v>
      </c>
      <c r="Q84" s="149">
        <v>0</v>
      </c>
      <c r="U84" s="405" t="s">
        <v>111</v>
      </c>
    </row>
    <row r="85" spans="1:21" x14ac:dyDescent="0.25">
      <c r="A85" s="405" t="s">
        <v>481</v>
      </c>
      <c r="B85" s="405" t="s">
        <v>1184</v>
      </c>
      <c r="G85" s="405" t="s">
        <v>198</v>
      </c>
      <c r="H85" s="405" t="s">
        <v>197</v>
      </c>
      <c r="I85" s="405" t="s">
        <v>460</v>
      </c>
      <c r="J85" s="78">
        <v>40817</v>
      </c>
      <c r="K85" s="149">
        <v>548</v>
      </c>
      <c r="M85" s="405" t="s">
        <v>83</v>
      </c>
      <c r="N85" s="405" t="s">
        <v>84</v>
      </c>
      <c r="O85" s="405" t="s">
        <v>481</v>
      </c>
      <c r="P85" s="149">
        <v>0</v>
      </c>
      <c r="Q85" s="149">
        <v>0</v>
      </c>
      <c r="U85" s="405" t="s">
        <v>85</v>
      </c>
    </row>
    <row r="86" spans="1:21" x14ac:dyDescent="0.25">
      <c r="A86" s="405" t="s">
        <v>481</v>
      </c>
      <c r="B86" s="405" t="s">
        <v>1188</v>
      </c>
      <c r="G86" s="405" t="s">
        <v>303</v>
      </c>
      <c r="H86" s="405" t="s">
        <v>302</v>
      </c>
      <c r="I86" s="405" t="s">
        <v>460</v>
      </c>
      <c r="J86" s="78">
        <v>41701</v>
      </c>
      <c r="K86" s="149">
        <v>375</v>
      </c>
      <c r="M86" s="405" t="s">
        <v>69</v>
      </c>
      <c r="N86" s="405" t="s">
        <v>70</v>
      </c>
      <c r="O86" s="405" t="s">
        <v>481</v>
      </c>
      <c r="P86" s="149"/>
      <c r="Q86" s="149"/>
      <c r="U86" s="405" t="s">
        <v>83</v>
      </c>
    </row>
    <row r="87" spans="1:21" x14ac:dyDescent="0.25">
      <c r="A87" s="405" t="s">
        <v>481</v>
      </c>
      <c r="B87" s="405" t="s">
        <v>1185</v>
      </c>
      <c r="G87" s="405" t="s">
        <v>35</v>
      </c>
      <c r="H87" s="405" t="s">
        <v>360</v>
      </c>
      <c r="I87" s="405" t="s">
        <v>777</v>
      </c>
      <c r="J87" s="405" t="s">
        <v>1251</v>
      </c>
      <c r="K87" s="149">
        <v>0</v>
      </c>
      <c r="M87" s="405" t="s">
        <v>103</v>
      </c>
      <c r="N87" s="405" t="s">
        <v>104</v>
      </c>
      <c r="O87" s="405" t="s">
        <v>481</v>
      </c>
      <c r="P87" s="149">
        <v>0</v>
      </c>
      <c r="Q87" s="149">
        <v>0</v>
      </c>
      <c r="U87" s="405" t="s">
        <v>69</v>
      </c>
    </row>
    <row r="88" spans="1:21" x14ac:dyDescent="0.25">
      <c r="A88" s="405" t="s">
        <v>481</v>
      </c>
      <c r="B88" s="405" t="s">
        <v>1187</v>
      </c>
      <c r="G88" s="405" t="s">
        <v>1426</v>
      </c>
      <c r="H88" s="405" t="s">
        <v>1415</v>
      </c>
      <c r="I88" s="405" t="s">
        <v>460</v>
      </c>
      <c r="J88" s="78">
        <v>42887</v>
      </c>
      <c r="K88" s="149">
        <v>118</v>
      </c>
      <c r="M88" s="405" t="s">
        <v>67</v>
      </c>
      <c r="N88" s="405" t="s">
        <v>68</v>
      </c>
      <c r="O88" s="405" t="s">
        <v>481</v>
      </c>
      <c r="P88" s="149">
        <v>0</v>
      </c>
      <c r="Q88" s="149">
        <v>0</v>
      </c>
      <c r="U88" s="405" t="s">
        <v>103</v>
      </c>
    </row>
    <row r="89" spans="1:21" x14ac:dyDescent="0.25">
      <c r="A89" s="405" t="s">
        <v>481</v>
      </c>
      <c r="B89" s="405" t="s">
        <v>1186</v>
      </c>
      <c r="G89" s="405" t="s">
        <v>240</v>
      </c>
      <c r="H89" s="405" t="s">
        <v>239</v>
      </c>
      <c r="I89" s="405" t="s">
        <v>460</v>
      </c>
      <c r="J89" s="78">
        <v>40603</v>
      </c>
      <c r="K89" s="149">
        <v>105</v>
      </c>
      <c r="M89" s="405" t="s">
        <v>99</v>
      </c>
      <c r="N89" s="405" t="s">
        <v>100</v>
      </c>
      <c r="O89" s="405" t="s">
        <v>481</v>
      </c>
      <c r="P89" s="149">
        <v>8</v>
      </c>
      <c r="Q89" s="149">
        <v>15</v>
      </c>
      <c r="U89" s="405" t="s">
        <v>67</v>
      </c>
    </row>
    <row r="90" spans="1:21" x14ac:dyDescent="0.25">
      <c r="A90" s="405" t="s">
        <v>481</v>
      </c>
      <c r="B90" s="405" t="s">
        <v>1426</v>
      </c>
      <c r="G90" s="405" t="s">
        <v>284</v>
      </c>
      <c r="H90" s="405" t="s">
        <v>283</v>
      </c>
      <c r="I90" s="405" t="s">
        <v>460</v>
      </c>
      <c r="J90" s="78">
        <v>40695</v>
      </c>
      <c r="K90" s="149">
        <v>139</v>
      </c>
      <c r="M90" s="405" t="s">
        <v>49</v>
      </c>
      <c r="N90" s="405" t="s">
        <v>50</v>
      </c>
      <c r="O90" s="405" t="s">
        <v>481</v>
      </c>
      <c r="P90" s="149"/>
      <c r="Q90" s="149"/>
      <c r="U90" s="405" t="s">
        <v>99</v>
      </c>
    </row>
    <row r="91" spans="1:21" x14ac:dyDescent="0.25">
      <c r="A91" s="405" t="s">
        <v>720</v>
      </c>
      <c r="B91" s="405" t="s">
        <v>536</v>
      </c>
      <c r="G91" s="405" t="s">
        <v>363</v>
      </c>
      <c r="H91" s="405" t="s">
        <v>376</v>
      </c>
      <c r="I91" s="405" t="s">
        <v>460</v>
      </c>
      <c r="J91" s="78">
        <v>40940</v>
      </c>
      <c r="K91" s="149">
        <v>144</v>
      </c>
      <c r="M91" s="405" t="s">
        <v>65</v>
      </c>
      <c r="N91" s="405" t="s">
        <v>66</v>
      </c>
      <c r="O91" s="405" t="s">
        <v>481</v>
      </c>
      <c r="P91" s="149">
        <v>0</v>
      </c>
      <c r="Q91" s="149">
        <v>0</v>
      </c>
      <c r="U91" s="405" t="s">
        <v>49</v>
      </c>
    </row>
    <row r="92" spans="1:21" x14ac:dyDescent="0.25">
      <c r="A92" s="405" t="s">
        <v>720</v>
      </c>
      <c r="B92" s="405" t="s">
        <v>1078</v>
      </c>
      <c r="G92" s="405" t="s">
        <v>90</v>
      </c>
      <c r="H92" s="405" t="s">
        <v>89</v>
      </c>
      <c r="I92" s="405" t="s">
        <v>460</v>
      </c>
      <c r="J92" s="78">
        <v>41275</v>
      </c>
      <c r="K92" s="149">
        <v>19</v>
      </c>
      <c r="M92" s="405" t="s">
        <v>53</v>
      </c>
      <c r="N92" s="405" t="s">
        <v>54</v>
      </c>
      <c r="O92" s="405" t="s">
        <v>481</v>
      </c>
      <c r="P92" s="149">
        <v>0</v>
      </c>
      <c r="Q92" s="149">
        <v>0</v>
      </c>
      <c r="U92" s="405" t="s">
        <v>65</v>
      </c>
    </row>
    <row r="93" spans="1:21" x14ac:dyDescent="0.25">
      <c r="A93" s="405" t="s">
        <v>720</v>
      </c>
      <c r="B93" s="405" t="s">
        <v>1172</v>
      </c>
      <c r="G93" s="405" t="s">
        <v>92</v>
      </c>
      <c r="H93" s="405" t="s">
        <v>91</v>
      </c>
      <c r="I93" s="405" t="s">
        <v>460</v>
      </c>
      <c r="J93" s="78">
        <v>41275</v>
      </c>
      <c r="K93" s="149">
        <v>12</v>
      </c>
      <c r="M93" s="405" t="s">
        <v>115</v>
      </c>
      <c r="N93" s="405" t="s">
        <v>116</v>
      </c>
      <c r="O93" s="405" t="s">
        <v>481</v>
      </c>
      <c r="P93" s="149">
        <v>0</v>
      </c>
      <c r="Q93" s="149">
        <v>0</v>
      </c>
      <c r="U93" s="405" t="s">
        <v>53</v>
      </c>
    </row>
    <row r="94" spans="1:21" x14ac:dyDescent="0.25">
      <c r="A94" s="405" t="s">
        <v>361</v>
      </c>
      <c r="B94" s="405" t="s">
        <v>35</v>
      </c>
      <c r="G94" s="405" t="s">
        <v>18</v>
      </c>
      <c r="H94" s="405" t="s">
        <v>17</v>
      </c>
      <c r="I94" s="405" t="s">
        <v>460</v>
      </c>
      <c r="J94" s="78">
        <v>40695</v>
      </c>
      <c r="K94" s="149">
        <v>129</v>
      </c>
      <c r="M94" s="405" t="s">
        <v>79</v>
      </c>
      <c r="N94" s="405" t="s">
        <v>80</v>
      </c>
      <c r="O94" s="405" t="s">
        <v>481</v>
      </c>
      <c r="P94" s="149">
        <v>0</v>
      </c>
      <c r="Q94" s="149">
        <v>0</v>
      </c>
      <c r="U94" s="405" t="s">
        <v>115</v>
      </c>
    </row>
    <row r="95" spans="1:21" x14ac:dyDescent="0.25">
      <c r="A95" s="405" t="s">
        <v>144</v>
      </c>
      <c r="B95" s="405" t="s">
        <v>145</v>
      </c>
      <c r="G95" s="405" t="s">
        <v>1221</v>
      </c>
      <c r="H95" s="405" t="s">
        <v>1203</v>
      </c>
      <c r="I95" s="405" t="s">
        <v>460</v>
      </c>
      <c r="J95" s="405" t="s">
        <v>1251</v>
      </c>
      <c r="K95" s="149">
        <v>25</v>
      </c>
      <c r="M95" s="405" t="s">
        <v>137</v>
      </c>
      <c r="N95" s="405" t="s">
        <v>138</v>
      </c>
      <c r="O95" s="405" t="s">
        <v>481</v>
      </c>
      <c r="P95" s="149">
        <v>0</v>
      </c>
      <c r="Q95" s="149">
        <v>0</v>
      </c>
      <c r="U95" s="405" t="s">
        <v>79</v>
      </c>
    </row>
    <row r="96" spans="1:21" x14ac:dyDescent="0.25">
      <c r="A96" s="405" t="s">
        <v>146</v>
      </c>
      <c r="B96" s="405" t="s">
        <v>839</v>
      </c>
      <c r="G96" s="405" t="s">
        <v>186</v>
      </c>
      <c r="H96" s="405" t="s">
        <v>184</v>
      </c>
      <c r="I96" s="405" t="s">
        <v>460</v>
      </c>
      <c r="J96" s="78">
        <v>41030</v>
      </c>
      <c r="K96" s="149">
        <v>40</v>
      </c>
      <c r="M96" s="405" t="s">
        <v>101</v>
      </c>
      <c r="N96" s="405" t="s">
        <v>102</v>
      </c>
      <c r="O96" s="405" t="s">
        <v>481</v>
      </c>
      <c r="P96" s="149">
        <v>0</v>
      </c>
      <c r="Q96" s="149">
        <v>0</v>
      </c>
      <c r="U96" s="405" t="s">
        <v>137</v>
      </c>
    </row>
    <row r="97" spans="1:21" x14ac:dyDescent="0.25">
      <c r="A97" s="405" t="s">
        <v>146</v>
      </c>
      <c r="B97" s="405" t="s">
        <v>841</v>
      </c>
      <c r="G97" s="405" t="s">
        <v>223</v>
      </c>
      <c r="H97" s="405" t="s">
        <v>222</v>
      </c>
      <c r="I97" s="405" t="s">
        <v>460</v>
      </c>
      <c r="J97" s="78">
        <v>40848</v>
      </c>
      <c r="K97" s="149">
        <v>129</v>
      </c>
      <c r="M97" s="405" t="s">
        <v>105</v>
      </c>
      <c r="N97" s="405" t="s">
        <v>106</v>
      </c>
      <c r="O97" s="405" t="s">
        <v>481</v>
      </c>
      <c r="P97" s="149">
        <v>0</v>
      </c>
      <c r="Q97" s="149">
        <v>0</v>
      </c>
      <c r="U97" s="405" t="s">
        <v>101</v>
      </c>
    </row>
    <row r="98" spans="1:21" x14ac:dyDescent="0.25">
      <c r="A98" s="405" t="s">
        <v>146</v>
      </c>
      <c r="B98" s="405" t="s">
        <v>370</v>
      </c>
      <c r="G98" s="405" t="s">
        <v>190</v>
      </c>
      <c r="H98" s="405" t="s">
        <v>189</v>
      </c>
      <c r="I98" s="405" t="s">
        <v>460</v>
      </c>
      <c r="J98" s="78">
        <v>41000</v>
      </c>
      <c r="K98" s="149">
        <v>199</v>
      </c>
      <c r="M98" s="405" t="s">
        <v>129</v>
      </c>
      <c r="N98" s="405" t="s">
        <v>130</v>
      </c>
      <c r="O98" s="405" t="s">
        <v>481</v>
      </c>
      <c r="P98" s="149">
        <v>0</v>
      </c>
      <c r="Q98" s="149">
        <v>0</v>
      </c>
      <c r="U98" s="405" t="s">
        <v>105</v>
      </c>
    </row>
    <row r="99" spans="1:21" x14ac:dyDescent="0.25">
      <c r="A99" s="405" t="s">
        <v>146</v>
      </c>
      <c r="B99" s="405" t="s">
        <v>367</v>
      </c>
      <c r="G99" s="405" t="s">
        <v>158</v>
      </c>
      <c r="H99" s="405" t="s">
        <v>157</v>
      </c>
      <c r="I99" s="405" t="s">
        <v>777</v>
      </c>
      <c r="J99" s="78">
        <v>41122</v>
      </c>
      <c r="K99" s="149">
        <v>0</v>
      </c>
      <c r="M99" s="405" t="s">
        <v>133</v>
      </c>
      <c r="N99" s="405" t="s">
        <v>134</v>
      </c>
      <c r="O99" s="405" t="s">
        <v>481</v>
      </c>
      <c r="P99" s="149"/>
      <c r="Q99" s="149"/>
      <c r="U99" s="405" t="s">
        <v>129</v>
      </c>
    </row>
    <row r="100" spans="1:21" x14ac:dyDescent="0.25">
      <c r="A100" s="405" t="s">
        <v>146</v>
      </c>
      <c r="B100" s="405" t="s">
        <v>368</v>
      </c>
      <c r="G100" s="405" t="s">
        <v>1064</v>
      </c>
      <c r="H100" s="405" t="s">
        <v>1063</v>
      </c>
      <c r="I100" s="405" t="s">
        <v>460</v>
      </c>
      <c r="J100" s="78">
        <v>42180</v>
      </c>
      <c r="K100" s="149">
        <v>61</v>
      </c>
      <c r="M100" s="405" t="s">
        <v>113</v>
      </c>
      <c r="N100" s="405" t="s">
        <v>114</v>
      </c>
      <c r="O100" s="405" t="s">
        <v>481</v>
      </c>
      <c r="P100" s="149">
        <v>0</v>
      </c>
      <c r="Q100" s="149">
        <v>0</v>
      </c>
      <c r="U100" s="405" t="s">
        <v>133</v>
      </c>
    </row>
    <row r="101" spans="1:21" x14ac:dyDescent="0.25">
      <c r="A101" s="405" t="s">
        <v>146</v>
      </c>
      <c r="B101" s="405" t="s">
        <v>366</v>
      </c>
      <c r="G101" s="405" t="s">
        <v>1696</v>
      </c>
      <c r="H101" s="405" t="s">
        <v>175</v>
      </c>
      <c r="I101" s="405" t="s">
        <v>460</v>
      </c>
      <c r="J101" s="78">
        <v>41030</v>
      </c>
      <c r="K101" s="149">
        <v>16</v>
      </c>
      <c r="M101" s="405" t="s">
        <v>107</v>
      </c>
      <c r="N101" s="405" t="s">
        <v>108</v>
      </c>
      <c r="O101" s="405" t="s">
        <v>481</v>
      </c>
      <c r="P101" s="149">
        <v>53</v>
      </c>
      <c r="Q101" s="149">
        <v>277</v>
      </c>
      <c r="U101" s="405" t="s">
        <v>113</v>
      </c>
    </row>
    <row r="102" spans="1:21" x14ac:dyDescent="0.25">
      <c r="A102" s="405" t="s">
        <v>146</v>
      </c>
      <c r="B102" s="405" t="s">
        <v>369</v>
      </c>
      <c r="G102" s="405" t="s">
        <v>1072</v>
      </c>
      <c r="H102" s="405" t="s">
        <v>1075</v>
      </c>
      <c r="I102" s="405" t="s">
        <v>460</v>
      </c>
      <c r="J102" s="78">
        <v>42125</v>
      </c>
      <c r="K102" s="149">
        <v>7</v>
      </c>
      <c r="M102" s="405" t="s">
        <v>95</v>
      </c>
      <c r="N102" s="405" t="s">
        <v>96</v>
      </c>
      <c r="O102" s="405" t="s">
        <v>481</v>
      </c>
      <c r="P102" s="149">
        <v>0</v>
      </c>
      <c r="Q102" s="149">
        <v>0</v>
      </c>
      <c r="U102" s="405" t="s">
        <v>107</v>
      </c>
    </row>
    <row r="103" spans="1:21" x14ac:dyDescent="0.25">
      <c r="A103" s="405" t="s">
        <v>146</v>
      </c>
      <c r="B103" s="405" t="s">
        <v>365</v>
      </c>
      <c r="G103" s="405" t="s">
        <v>94</v>
      </c>
      <c r="H103" s="405" t="s">
        <v>93</v>
      </c>
      <c r="I103" s="405" t="s">
        <v>777</v>
      </c>
      <c r="J103" s="405" t="s">
        <v>1251</v>
      </c>
      <c r="K103" s="149">
        <v>0</v>
      </c>
      <c r="M103" s="405" t="s">
        <v>139</v>
      </c>
      <c r="N103" s="405" t="s">
        <v>140</v>
      </c>
      <c r="O103" s="405" t="s">
        <v>481</v>
      </c>
      <c r="P103" s="149">
        <v>11</v>
      </c>
      <c r="Q103" s="149">
        <v>48</v>
      </c>
      <c r="U103" s="405" t="s">
        <v>95</v>
      </c>
    </row>
    <row r="104" spans="1:21" x14ac:dyDescent="0.25">
      <c r="A104" s="405" t="s">
        <v>146</v>
      </c>
      <c r="B104" s="405" t="s">
        <v>149</v>
      </c>
      <c r="G104" s="405" t="s">
        <v>821</v>
      </c>
      <c r="H104" s="405" t="s">
        <v>822</v>
      </c>
      <c r="I104" s="405" t="s">
        <v>777</v>
      </c>
      <c r="J104" s="78">
        <v>41518</v>
      </c>
      <c r="K104" s="149"/>
      <c r="M104" s="405" t="s">
        <v>135</v>
      </c>
      <c r="N104" s="405" t="s">
        <v>136</v>
      </c>
      <c r="O104" s="405" t="s">
        <v>481</v>
      </c>
      <c r="P104" s="149">
        <v>0</v>
      </c>
      <c r="Q104" s="149">
        <v>0</v>
      </c>
      <c r="U104" s="405" t="s">
        <v>139</v>
      </c>
    </row>
    <row r="105" spans="1:21" x14ac:dyDescent="0.25">
      <c r="A105" s="405" t="s">
        <v>146</v>
      </c>
      <c r="B105" s="405" t="s">
        <v>371</v>
      </c>
      <c r="G105" s="405" t="s">
        <v>319</v>
      </c>
      <c r="H105" s="405" t="s">
        <v>318</v>
      </c>
      <c r="I105" s="405" t="s">
        <v>460</v>
      </c>
      <c r="J105" s="78">
        <v>41030</v>
      </c>
      <c r="K105" s="149">
        <v>30</v>
      </c>
      <c r="M105" s="405" t="s">
        <v>93</v>
      </c>
      <c r="N105" s="405" t="s">
        <v>94</v>
      </c>
      <c r="O105" s="405" t="s">
        <v>481</v>
      </c>
      <c r="P105" s="149">
        <v>0</v>
      </c>
      <c r="Q105" s="149">
        <v>0</v>
      </c>
      <c r="U105" s="405" t="s">
        <v>135</v>
      </c>
    </row>
    <row r="106" spans="1:21" x14ac:dyDescent="0.25">
      <c r="A106" s="405" t="s">
        <v>146</v>
      </c>
      <c r="B106" s="405" t="s">
        <v>951</v>
      </c>
      <c r="G106" s="405" t="s">
        <v>321</v>
      </c>
      <c r="H106" s="405" t="s">
        <v>320</v>
      </c>
      <c r="I106" s="405" t="s">
        <v>460</v>
      </c>
      <c r="J106" s="78">
        <v>40695</v>
      </c>
      <c r="K106" s="149">
        <v>437</v>
      </c>
      <c r="M106" s="405" t="s">
        <v>121</v>
      </c>
      <c r="N106" s="405" t="s">
        <v>122</v>
      </c>
      <c r="O106" s="405" t="s">
        <v>481</v>
      </c>
      <c r="P106" s="149">
        <v>0</v>
      </c>
      <c r="Q106" s="149">
        <v>0</v>
      </c>
      <c r="U106" s="405" t="s">
        <v>93</v>
      </c>
    </row>
    <row r="107" spans="1:21" x14ac:dyDescent="0.25">
      <c r="A107" s="405" t="s">
        <v>146</v>
      </c>
      <c r="B107" s="405" t="s">
        <v>1100</v>
      </c>
      <c r="G107" s="405" t="s">
        <v>200</v>
      </c>
      <c r="H107" s="405" t="s">
        <v>199</v>
      </c>
      <c r="I107" s="405" t="s">
        <v>777</v>
      </c>
      <c r="J107" s="405" t="s">
        <v>1251</v>
      </c>
      <c r="K107" s="149"/>
      <c r="M107" s="405" t="s">
        <v>71</v>
      </c>
      <c r="N107" s="405" t="s">
        <v>72</v>
      </c>
      <c r="O107" s="405" t="s">
        <v>481</v>
      </c>
      <c r="P107" s="149">
        <v>5</v>
      </c>
      <c r="Q107" s="149">
        <v>26</v>
      </c>
      <c r="U107" s="405" t="s">
        <v>121</v>
      </c>
    </row>
    <row r="108" spans="1:21" x14ac:dyDescent="0.25">
      <c r="A108" s="405" t="s">
        <v>146</v>
      </c>
      <c r="B108" s="405" t="s">
        <v>1157</v>
      </c>
      <c r="G108" s="405" t="s">
        <v>1157</v>
      </c>
      <c r="H108" s="405" t="s">
        <v>1149</v>
      </c>
      <c r="I108" s="405" t="s">
        <v>460</v>
      </c>
      <c r="J108" s="78">
        <v>42435</v>
      </c>
      <c r="K108" s="149">
        <v>139</v>
      </c>
      <c r="M108" s="405" t="s">
        <v>131</v>
      </c>
      <c r="N108" s="405" t="s">
        <v>132</v>
      </c>
      <c r="O108" s="405" t="s">
        <v>481</v>
      </c>
      <c r="P108" s="149">
        <v>0</v>
      </c>
      <c r="Q108" s="149">
        <v>0</v>
      </c>
      <c r="U108" s="405" t="s">
        <v>71</v>
      </c>
    </row>
    <row r="109" spans="1:21" x14ac:dyDescent="0.25">
      <c r="A109" s="405" t="s">
        <v>146</v>
      </c>
      <c r="B109" s="405" t="s">
        <v>1160</v>
      </c>
      <c r="G109" s="405" t="s">
        <v>327</v>
      </c>
      <c r="H109" s="405" t="s">
        <v>326</v>
      </c>
      <c r="I109" s="405" t="s">
        <v>460</v>
      </c>
      <c r="J109" s="78">
        <v>41456</v>
      </c>
      <c r="K109" s="149">
        <v>333</v>
      </c>
      <c r="M109" s="405" t="s">
        <v>354</v>
      </c>
      <c r="N109" s="405" t="s">
        <v>1050</v>
      </c>
      <c r="O109" s="405" t="s">
        <v>309</v>
      </c>
      <c r="P109" s="149"/>
      <c r="Q109" s="149"/>
      <c r="U109" s="405" t="s">
        <v>131</v>
      </c>
    </row>
    <row r="110" spans="1:21" x14ac:dyDescent="0.25">
      <c r="A110" s="405" t="s">
        <v>146</v>
      </c>
      <c r="B110" s="405" t="s">
        <v>1175</v>
      </c>
      <c r="G110" s="405" t="s">
        <v>329</v>
      </c>
      <c r="H110" s="405" t="s">
        <v>328</v>
      </c>
      <c r="I110" s="405" t="s">
        <v>460</v>
      </c>
      <c r="J110" s="78">
        <v>41426</v>
      </c>
      <c r="K110" s="149">
        <v>282</v>
      </c>
      <c r="M110" s="405" t="s">
        <v>332</v>
      </c>
      <c r="N110" s="405" t="s">
        <v>333</v>
      </c>
      <c r="O110" s="405" t="s">
        <v>309</v>
      </c>
      <c r="P110" s="149">
        <v>132</v>
      </c>
      <c r="Q110" s="149">
        <v>522</v>
      </c>
      <c r="U110" s="405" t="s">
        <v>354</v>
      </c>
    </row>
    <row r="111" spans="1:21" x14ac:dyDescent="0.25">
      <c r="A111" s="405" t="s">
        <v>146</v>
      </c>
      <c r="B111" s="405" t="s">
        <v>1263</v>
      </c>
      <c r="G111" s="405" t="s">
        <v>323</v>
      </c>
      <c r="H111" s="405" t="s">
        <v>322</v>
      </c>
      <c r="I111" s="405" t="s">
        <v>460</v>
      </c>
      <c r="J111" s="78">
        <v>41061</v>
      </c>
      <c r="K111" s="149">
        <v>499</v>
      </c>
      <c r="M111" s="405" t="s">
        <v>355</v>
      </c>
      <c r="N111" s="405" t="s">
        <v>356</v>
      </c>
      <c r="O111" s="405" t="s">
        <v>309</v>
      </c>
      <c r="P111" s="149">
        <v>0</v>
      </c>
      <c r="Q111" s="149">
        <v>0</v>
      </c>
      <c r="U111" s="405" t="s">
        <v>332</v>
      </c>
    </row>
    <row r="112" spans="1:21" x14ac:dyDescent="0.25">
      <c r="A112" s="405" t="s">
        <v>146</v>
      </c>
      <c r="B112" s="405" t="s">
        <v>1273</v>
      </c>
      <c r="G112" s="405" t="s">
        <v>325</v>
      </c>
      <c r="H112" s="405" t="s">
        <v>324</v>
      </c>
      <c r="I112" s="405" t="s">
        <v>460</v>
      </c>
      <c r="J112" s="78">
        <v>40878</v>
      </c>
      <c r="K112" s="149">
        <v>46</v>
      </c>
      <c r="M112" s="405" t="s">
        <v>334</v>
      </c>
      <c r="N112" s="405" t="s">
        <v>335</v>
      </c>
      <c r="O112" s="405" t="s">
        <v>309</v>
      </c>
      <c r="P112" s="149">
        <v>149</v>
      </c>
      <c r="Q112" s="149">
        <v>908</v>
      </c>
      <c r="U112" s="405" t="s">
        <v>355</v>
      </c>
    </row>
    <row r="113" spans="1:21" x14ac:dyDescent="0.25">
      <c r="A113" s="405" t="s">
        <v>146</v>
      </c>
      <c r="B113" s="405" t="s">
        <v>1755</v>
      </c>
      <c r="G113" s="405" t="s">
        <v>813</v>
      </c>
      <c r="H113" s="405" t="s">
        <v>814</v>
      </c>
      <c r="I113" s="405" t="s">
        <v>460</v>
      </c>
      <c r="J113" s="78">
        <v>41548</v>
      </c>
      <c r="K113" s="149">
        <v>405</v>
      </c>
      <c r="M113" s="405" t="s">
        <v>350</v>
      </c>
      <c r="N113" s="405" t="s">
        <v>351</v>
      </c>
      <c r="O113" s="405" t="s">
        <v>309</v>
      </c>
      <c r="P113" s="149">
        <v>1411</v>
      </c>
      <c r="Q113" s="149">
        <v>6904</v>
      </c>
      <c r="U113" s="405" t="s">
        <v>334</v>
      </c>
    </row>
    <row r="114" spans="1:21" x14ac:dyDescent="0.25">
      <c r="A114" s="405" t="s">
        <v>819</v>
      </c>
      <c r="B114" s="405" t="s">
        <v>821</v>
      </c>
      <c r="G114" s="405" t="s">
        <v>851</v>
      </c>
      <c r="H114" s="405" t="s">
        <v>850</v>
      </c>
      <c r="I114" s="405" t="s">
        <v>460</v>
      </c>
      <c r="J114" s="78">
        <v>41548</v>
      </c>
      <c r="K114" s="149">
        <v>173</v>
      </c>
      <c r="M114" s="405" t="s">
        <v>313</v>
      </c>
      <c r="N114" s="405" t="s">
        <v>1053</v>
      </c>
      <c r="O114" s="405" t="s">
        <v>309</v>
      </c>
      <c r="P114" s="149">
        <v>0</v>
      </c>
      <c r="Q114" s="149">
        <v>0</v>
      </c>
      <c r="U114" s="405" t="s">
        <v>350</v>
      </c>
    </row>
    <row r="115" spans="1:21" x14ac:dyDescent="0.25">
      <c r="A115" s="405" t="s">
        <v>151</v>
      </c>
      <c r="B115" s="405" t="s">
        <v>810</v>
      </c>
      <c r="G115" s="405" t="s">
        <v>258</v>
      </c>
      <c r="H115" s="405" t="s">
        <v>257</v>
      </c>
      <c r="I115" s="405" t="s">
        <v>460</v>
      </c>
      <c r="J115" s="78">
        <v>40756</v>
      </c>
      <c r="K115" s="149">
        <v>75</v>
      </c>
      <c r="M115" s="405" t="s">
        <v>330</v>
      </c>
      <c r="N115" s="405" t="s">
        <v>331</v>
      </c>
      <c r="O115" s="405" t="s">
        <v>309</v>
      </c>
      <c r="P115" s="149">
        <v>0</v>
      </c>
      <c r="Q115" s="149">
        <v>0</v>
      </c>
      <c r="U115" s="405" t="s">
        <v>313</v>
      </c>
    </row>
    <row r="116" spans="1:21" x14ac:dyDescent="0.25">
      <c r="A116" s="405" t="s">
        <v>151</v>
      </c>
      <c r="B116" s="405" t="s">
        <v>805</v>
      </c>
      <c r="G116" s="405" t="s">
        <v>202</v>
      </c>
      <c r="H116" s="405" t="s">
        <v>201</v>
      </c>
      <c r="I116" s="405" t="s">
        <v>460</v>
      </c>
      <c r="J116" s="78">
        <v>41030</v>
      </c>
      <c r="K116" s="149">
        <v>265</v>
      </c>
      <c r="M116" s="405" t="s">
        <v>320</v>
      </c>
      <c r="N116" s="405" t="s">
        <v>321</v>
      </c>
      <c r="O116" s="405" t="s">
        <v>309</v>
      </c>
      <c r="P116" s="149">
        <v>437</v>
      </c>
      <c r="Q116" s="149">
        <v>1938</v>
      </c>
      <c r="U116" s="405" t="s">
        <v>330</v>
      </c>
    </row>
    <row r="117" spans="1:21" x14ac:dyDescent="0.25">
      <c r="A117" s="405" t="s">
        <v>151</v>
      </c>
      <c r="B117" s="405" t="s">
        <v>806</v>
      </c>
      <c r="G117" s="405" t="s">
        <v>260</v>
      </c>
      <c r="H117" s="405" t="s">
        <v>259</v>
      </c>
      <c r="I117" s="405" t="s">
        <v>460</v>
      </c>
      <c r="J117" s="78">
        <v>40725</v>
      </c>
      <c r="K117" s="149">
        <v>103</v>
      </c>
      <c r="M117" s="405" t="s">
        <v>343</v>
      </c>
      <c r="N117" s="405" t="s">
        <v>1048</v>
      </c>
      <c r="O117" s="405" t="s">
        <v>309</v>
      </c>
      <c r="P117" s="149">
        <v>186</v>
      </c>
      <c r="Q117" s="149">
        <v>858</v>
      </c>
      <c r="U117" s="405" t="s">
        <v>320</v>
      </c>
    </row>
    <row r="118" spans="1:21" x14ac:dyDescent="0.25">
      <c r="A118" s="405" t="s">
        <v>151</v>
      </c>
      <c r="B118" s="405" t="s">
        <v>188</v>
      </c>
      <c r="G118" s="405" t="s">
        <v>1227</v>
      </c>
      <c r="H118" s="405" t="s">
        <v>1215</v>
      </c>
      <c r="I118" s="405" t="s">
        <v>460</v>
      </c>
      <c r="J118" s="405" t="s">
        <v>1251</v>
      </c>
      <c r="K118" s="149">
        <v>37</v>
      </c>
      <c r="M118" s="405" t="s">
        <v>195</v>
      </c>
      <c r="N118" s="405" t="s">
        <v>196</v>
      </c>
      <c r="O118" s="405" t="s">
        <v>185</v>
      </c>
      <c r="P118" s="149">
        <v>1518</v>
      </c>
      <c r="Q118" s="149">
        <v>8513</v>
      </c>
      <c r="U118" s="405" t="s">
        <v>343</v>
      </c>
    </row>
    <row r="119" spans="1:21" x14ac:dyDescent="0.25">
      <c r="A119" s="405" t="s">
        <v>151</v>
      </c>
      <c r="B119" s="405" t="s">
        <v>12</v>
      </c>
      <c r="G119" s="405" t="s">
        <v>804</v>
      </c>
      <c r="H119" s="405" t="s">
        <v>798</v>
      </c>
      <c r="I119" s="405" t="s">
        <v>777</v>
      </c>
      <c r="J119" s="405" t="s">
        <v>1251</v>
      </c>
      <c r="K119" s="149">
        <v>0</v>
      </c>
      <c r="M119" s="405" t="s">
        <v>193</v>
      </c>
      <c r="N119" s="405" t="s">
        <v>194</v>
      </c>
      <c r="O119" s="405" t="s">
        <v>185</v>
      </c>
      <c r="P119" s="149">
        <v>717</v>
      </c>
      <c r="Q119" s="149">
        <v>3615</v>
      </c>
      <c r="U119" s="405" t="s">
        <v>195</v>
      </c>
    </row>
    <row r="120" spans="1:21" x14ac:dyDescent="0.25">
      <c r="A120" s="405" t="s">
        <v>151</v>
      </c>
      <c r="B120" s="405" t="s">
        <v>812</v>
      </c>
      <c r="G120" s="405" t="s">
        <v>803</v>
      </c>
      <c r="H120" s="405" t="s">
        <v>802</v>
      </c>
      <c r="I120" s="405" t="s">
        <v>777</v>
      </c>
      <c r="J120" s="405" t="s">
        <v>1251</v>
      </c>
      <c r="K120" s="149">
        <v>0</v>
      </c>
      <c r="M120" s="405" t="s">
        <v>191</v>
      </c>
      <c r="N120" s="405" t="s">
        <v>192</v>
      </c>
      <c r="O120" s="405" t="s">
        <v>185</v>
      </c>
      <c r="P120" s="149">
        <v>100</v>
      </c>
      <c r="Q120" s="149">
        <v>457</v>
      </c>
      <c r="U120" s="405" t="s">
        <v>193</v>
      </c>
    </row>
    <row r="121" spans="1:21" x14ac:dyDescent="0.25">
      <c r="A121" s="405" t="s">
        <v>151</v>
      </c>
      <c r="B121" s="405" t="s">
        <v>470</v>
      </c>
      <c r="G121" s="405" t="s">
        <v>1273</v>
      </c>
      <c r="H121" s="405" t="s">
        <v>1274</v>
      </c>
      <c r="I121" s="405" t="s">
        <v>460</v>
      </c>
      <c r="J121" s="405" t="s">
        <v>1251</v>
      </c>
      <c r="K121" s="149">
        <v>24</v>
      </c>
      <c r="M121" s="405" t="s">
        <v>218</v>
      </c>
      <c r="N121" s="405" t="s">
        <v>219</v>
      </c>
      <c r="O121" s="405" t="s">
        <v>185</v>
      </c>
      <c r="P121" s="149">
        <v>651</v>
      </c>
      <c r="Q121" s="149">
        <v>3602</v>
      </c>
      <c r="U121" s="405" t="s">
        <v>191</v>
      </c>
    </row>
    <row r="122" spans="1:21" x14ac:dyDescent="0.25">
      <c r="A122" s="405" t="s">
        <v>151</v>
      </c>
      <c r="B122" s="405" t="s">
        <v>198</v>
      </c>
      <c r="G122" s="405" t="s">
        <v>204</v>
      </c>
      <c r="H122" s="405" t="s">
        <v>203</v>
      </c>
      <c r="I122" s="405" t="s">
        <v>777</v>
      </c>
      <c r="J122" s="405" t="s">
        <v>1251</v>
      </c>
      <c r="K122" s="149"/>
      <c r="M122" s="405" t="s">
        <v>197</v>
      </c>
      <c r="N122" s="405" t="s">
        <v>198</v>
      </c>
      <c r="O122" s="405" t="s">
        <v>151</v>
      </c>
      <c r="P122" s="149">
        <v>548</v>
      </c>
      <c r="Q122" s="149">
        <v>2482</v>
      </c>
      <c r="U122" s="405" t="s">
        <v>218</v>
      </c>
    </row>
    <row r="123" spans="1:21" x14ac:dyDescent="0.25">
      <c r="A123" s="405" t="s">
        <v>151</v>
      </c>
      <c r="B123" s="405" t="s">
        <v>158</v>
      </c>
      <c r="G123" s="405" t="s">
        <v>1169</v>
      </c>
      <c r="H123" s="405" t="s">
        <v>1151</v>
      </c>
      <c r="I123" s="405" t="s">
        <v>460</v>
      </c>
      <c r="J123" s="78">
        <v>42370</v>
      </c>
      <c r="K123" s="149">
        <v>36</v>
      </c>
      <c r="M123" s="405" t="s">
        <v>187</v>
      </c>
      <c r="N123" s="405" t="s">
        <v>188</v>
      </c>
      <c r="O123" s="405" t="s">
        <v>151</v>
      </c>
      <c r="P123" s="149">
        <v>386</v>
      </c>
      <c r="Q123" s="149">
        <v>1902</v>
      </c>
      <c r="U123" s="405" t="s">
        <v>197</v>
      </c>
    </row>
    <row r="124" spans="1:21" x14ac:dyDescent="0.25">
      <c r="A124" s="405" t="s">
        <v>151</v>
      </c>
      <c r="B124" s="405" t="s">
        <v>813</v>
      </c>
      <c r="G124" s="405" t="s">
        <v>205</v>
      </c>
      <c r="H124" s="405" t="s">
        <v>390</v>
      </c>
      <c r="I124" s="405" t="s">
        <v>777</v>
      </c>
      <c r="J124" s="405" t="s">
        <v>1251</v>
      </c>
      <c r="K124" s="149"/>
      <c r="M124" s="405" t="s">
        <v>214</v>
      </c>
      <c r="N124" s="405" t="s">
        <v>215</v>
      </c>
      <c r="O124" s="405" t="s">
        <v>185</v>
      </c>
      <c r="P124" s="149">
        <v>356</v>
      </c>
      <c r="Q124" s="149">
        <v>1787</v>
      </c>
      <c r="U124" s="405" t="s">
        <v>187</v>
      </c>
    </row>
    <row r="125" spans="1:21" x14ac:dyDescent="0.25">
      <c r="A125" s="405" t="s">
        <v>151</v>
      </c>
      <c r="B125" s="405" t="s">
        <v>804</v>
      </c>
      <c r="G125" s="405" t="s">
        <v>160</v>
      </c>
      <c r="H125" s="405" t="s">
        <v>159</v>
      </c>
      <c r="I125" s="405" t="s">
        <v>460</v>
      </c>
      <c r="J125" s="78">
        <v>40940</v>
      </c>
      <c r="K125" s="149">
        <v>109</v>
      </c>
      <c r="M125" s="405" t="s">
        <v>153</v>
      </c>
      <c r="N125" s="405" t="s">
        <v>154</v>
      </c>
      <c r="O125" s="405" t="s">
        <v>151</v>
      </c>
      <c r="P125" s="149">
        <v>441</v>
      </c>
      <c r="Q125" s="149">
        <v>2241</v>
      </c>
      <c r="U125" s="405" t="s">
        <v>214</v>
      </c>
    </row>
    <row r="126" spans="1:21" x14ac:dyDescent="0.25">
      <c r="A126" s="405" t="s">
        <v>151</v>
      </c>
      <c r="B126" s="405" t="s">
        <v>803</v>
      </c>
      <c r="G126" s="405" t="s">
        <v>946</v>
      </c>
      <c r="H126" s="405" t="s">
        <v>947</v>
      </c>
      <c r="I126" s="405" t="s">
        <v>460</v>
      </c>
      <c r="J126" s="78">
        <v>41730</v>
      </c>
      <c r="K126" s="149">
        <v>115</v>
      </c>
      <c r="M126" s="405" t="s">
        <v>159</v>
      </c>
      <c r="N126" s="405" t="s">
        <v>160</v>
      </c>
      <c r="O126" s="405" t="s">
        <v>151</v>
      </c>
      <c r="P126" s="149">
        <v>109</v>
      </c>
      <c r="Q126" s="149">
        <v>579</v>
      </c>
      <c r="U126" s="405" t="s">
        <v>153</v>
      </c>
    </row>
    <row r="127" spans="1:21" x14ac:dyDescent="0.25">
      <c r="A127" s="405" t="s">
        <v>151</v>
      </c>
      <c r="B127" s="405" t="s">
        <v>160</v>
      </c>
      <c r="G127" s="405" t="s">
        <v>154</v>
      </c>
      <c r="H127" s="405" t="s">
        <v>153</v>
      </c>
      <c r="I127" s="405" t="s">
        <v>460</v>
      </c>
      <c r="J127" s="78">
        <v>40848</v>
      </c>
      <c r="K127" s="149">
        <v>441</v>
      </c>
      <c r="M127" s="405" t="s">
        <v>155</v>
      </c>
      <c r="N127" s="405" t="s">
        <v>156</v>
      </c>
      <c r="O127" s="405" t="s">
        <v>151</v>
      </c>
      <c r="P127" s="149">
        <v>175</v>
      </c>
      <c r="Q127" s="149">
        <v>834</v>
      </c>
      <c r="U127" s="405" t="s">
        <v>159</v>
      </c>
    </row>
    <row r="128" spans="1:21" x14ac:dyDescent="0.25">
      <c r="A128" s="405" t="s">
        <v>151</v>
      </c>
      <c r="B128" s="405" t="s">
        <v>154</v>
      </c>
      <c r="G128" s="405" t="s">
        <v>915</v>
      </c>
      <c r="H128" s="405" t="s">
        <v>916</v>
      </c>
      <c r="I128" s="405" t="s">
        <v>460</v>
      </c>
      <c r="J128" s="78">
        <v>41791</v>
      </c>
      <c r="K128" s="149">
        <v>143</v>
      </c>
      <c r="M128" s="405" t="s">
        <v>157</v>
      </c>
      <c r="N128" s="405" t="s">
        <v>158</v>
      </c>
      <c r="O128" s="405" t="s">
        <v>151</v>
      </c>
      <c r="P128" s="149">
        <v>0</v>
      </c>
      <c r="Q128" s="149">
        <v>0</v>
      </c>
      <c r="U128" s="405" t="s">
        <v>155</v>
      </c>
    </row>
    <row r="129" spans="1:21" x14ac:dyDescent="0.25">
      <c r="A129" s="405" t="s">
        <v>151</v>
      </c>
      <c r="B129" s="405" t="s">
        <v>156</v>
      </c>
      <c r="G129" s="405" t="s">
        <v>156</v>
      </c>
      <c r="H129" s="405" t="s">
        <v>155</v>
      </c>
      <c r="I129" s="405" t="s">
        <v>460</v>
      </c>
      <c r="J129" s="405" t="s">
        <v>1251</v>
      </c>
      <c r="K129" s="149">
        <v>175</v>
      </c>
      <c r="M129" s="405" t="s">
        <v>161</v>
      </c>
      <c r="N129" s="405" t="s">
        <v>162</v>
      </c>
      <c r="O129" s="405" t="s">
        <v>151</v>
      </c>
      <c r="P129" s="149">
        <v>0</v>
      </c>
      <c r="Q129" s="149">
        <v>0</v>
      </c>
      <c r="U129" s="405" t="s">
        <v>157</v>
      </c>
    </row>
    <row r="130" spans="1:21" x14ac:dyDescent="0.25">
      <c r="A130" s="405" t="s">
        <v>151</v>
      </c>
      <c r="B130" s="405" t="s">
        <v>152</v>
      </c>
      <c r="G130" s="405" t="s">
        <v>331</v>
      </c>
      <c r="H130" s="405" t="s">
        <v>330</v>
      </c>
      <c r="I130" s="405" t="s">
        <v>777</v>
      </c>
      <c r="J130" s="405" t="s">
        <v>1251</v>
      </c>
      <c r="K130" s="149">
        <v>0</v>
      </c>
      <c r="M130" s="405" t="s">
        <v>163</v>
      </c>
      <c r="N130" s="405" t="s">
        <v>164</v>
      </c>
      <c r="O130" s="405" t="s">
        <v>151</v>
      </c>
      <c r="P130" s="149">
        <v>0</v>
      </c>
      <c r="Q130" s="149">
        <v>0</v>
      </c>
      <c r="U130" s="405" t="s">
        <v>161</v>
      </c>
    </row>
    <row r="131" spans="1:21" x14ac:dyDescent="0.25">
      <c r="A131" s="405" t="s">
        <v>151</v>
      </c>
      <c r="B131" s="405" t="s">
        <v>295</v>
      </c>
      <c r="G131" s="405" t="s">
        <v>207</v>
      </c>
      <c r="H131" s="405" t="s">
        <v>206</v>
      </c>
      <c r="I131" s="405" t="s">
        <v>777</v>
      </c>
      <c r="J131" s="78">
        <v>40817</v>
      </c>
      <c r="K131" s="149"/>
      <c r="M131" s="405" t="s">
        <v>360</v>
      </c>
      <c r="N131" s="405" t="s">
        <v>35</v>
      </c>
      <c r="O131" s="405" t="s">
        <v>361</v>
      </c>
      <c r="P131" s="149">
        <v>0</v>
      </c>
      <c r="Q131" s="149">
        <v>0</v>
      </c>
      <c r="U131" s="405" t="s">
        <v>163</v>
      </c>
    </row>
    <row r="132" spans="1:21" x14ac:dyDescent="0.25">
      <c r="A132" s="405" t="s">
        <v>151</v>
      </c>
      <c r="B132" s="405" t="s">
        <v>472</v>
      </c>
      <c r="G132" s="405" t="s">
        <v>167</v>
      </c>
      <c r="H132" s="405" t="s">
        <v>165</v>
      </c>
      <c r="I132" s="405" t="s">
        <v>460</v>
      </c>
      <c r="J132" s="78">
        <v>41000</v>
      </c>
      <c r="K132" s="149">
        <v>33</v>
      </c>
      <c r="M132" s="405" t="s">
        <v>302</v>
      </c>
      <c r="N132" s="405" t="s">
        <v>303</v>
      </c>
      <c r="O132" s="405" t="s">
        <v>301</v>
      </c>
      <c r="P132" s="149">
        <v>375</v>
      </c>
      <c r="Q132" s="149">
        <v>1691</v>
      </c>
      <c r="U132" s="405" t="s">
        <v>360</v>
      </c>
    </row>
    <row r="133" spans="1:21" x14ac:dyDescent="0.25">
      <c r="A133" s="405" t="s">
        <v>151</v>
      </c>
      <c r="B133" s="405" t="s">
        <v>162</v>
      </c>
      <c r="G133" s="405" t="s">
        <v>762</v>
      </c>
      <c r="H133" s="405" t="s">
        <v>763</v>
      </c>
      <c r="I133" s="405" t="s">
        <v>460</v>
      </c>
      <c r="J133" s="78">
        <v>41030</v>
      </c>
      <c r="K133" s="149">
        <v>29</v>
      </c>
      <c r="M133" s="405" t="s">
        <v>87</v>
      </c>
      <c r="N133" s="405" t="s">
        <v>88</v>
      </c>
      <c r="O133" s="405" t="s">
        <v>481</v>
      </c>
      <c r="P133" s="149">
        <v>13</v>
      </c>
      <c r="Q133" s="149">
        <v>46</v>
      </c>
      <c r="U133" s="405" t="s">
        <v>302</v>
      </c>
    </row>
    <row r="134" spans="1:21" x14ac:dyDescent="0.25">
      <c r="A134" s="405" t="s">
        <v>151</v>
      </c>
      <c r="B134" s="405" t="s">
        <v>793</v>
      </c>
      <c r="G134" s="405" t="s">
        <v>152</v>
      </c>
      <c r="H134" s="405" t="s">
        <v>150</v>
      </c>
      <c r="I134" s="405" t="s">
        <v>460</v>
      </c>
      <c r="J134" s="78">
        <v>41579</v>
      </c>
      <c r="K134" s="149">
        <v>187</v>
      </c>
      <c r="M134" s="405" t="s">
        <v>285</v>
      </c>
      <c r="N134" s="405" t="s">
        <v>286</v>
      </c>
      <c r="O134" s="405" t="s">
        <v>180</v>
      </c>
      <c r="P134" s="149">
        <v>24</v>
      </c>
      <c r="Q134" s="149">
        <v>115</v>
      </c>
      <c r="U134" s="405" t="s">
        <v>87</v>
      </c>
    </row>
    <row r="135" spans="1:21" x14ac:dyDescent="0.25">
      <c r="A135" s="405" t="s">
        <v>151</v>
      </c>
      <c r="B135" s="405" t="s">
        <v>794</v>
      </c>
      <c r="G135" s="405" t="s">
        <v>54</v>
      </c>
      <c r="H135" s="405" t="s">
        <v>53</v>
      </c>
      <c r="I135" s="405" t="s">
        <v>777</v>
      </c>
      <c r="J135" s="405" t="s">
        <v>1251</v>
      </c>
      <c r="K135" s="149">
        <v>0</v>
      </c>
      <c r="M135" s="405" t="s">
        <v>9</v>
      </c>
      <c r="N135" s="405" t="s">
        <v>10</v>
      </c>
      <c r="O135" s="405" t="s">
        <v>5</v>
      </c>
      <c r="P135" s="149">
        <v>0</v>
      </c>
      <c r="Q135" s="149">
        <v>0</v>
      </c>
      <c r="U135" s="405" t="s">
        <v>285</v>
      </c>
    </row>
    <row r="136" spans="1:21" x14ac:dyDescent="0.25">
      <c r="A136" s="405" t="s">
        <v>151</v>
      </c>
      <c r="B136" s="405" t="s">
        <v>164</v>
      </c>
      <c r="G136" s="405" t="s">
        <v>66</v>
      </c>
      <c r="H136" s="405" t="s">
        <v>65</v>
      </c>
      <c r="I136" s="405" t="s">
        <v>777</v>
      </c>
      <c r="J136" s="405" t="s">
        <v>1251</v>
      </c>
      <c r="K136" s="149">
        <v>0</v>
      </c>
      <c r="M136" s="405" t="s">
        <v>352</v>
      </c>
      <c r="N136" s="405" t="s">
        <v>353</v>
      </c>
      <c r="O136" s="405" t="s">
        <v>309</v>
      </c>
      <c r="P136" s="149">
        <v>88</v>
      </c>
      <c r="Q136" s="149">
        <v>545</v>
      </c>
      <c r="U136" s="405" t="s">
        <v>9</v>
      </c>
    </row>
    <row r="137" spans="1:21" x14ac:dyDescent="0.25">
      <c r="A137" s="405" t="s">
        <v>151</v>
      </c>
      <c r="B137" s="405" t="s">
        <v>815</v>
      </c>
      <c r="G137" s="405" t="s">
        <v>80</v>
      </c>
      <c r="H137" s="405" t="s">
        <v>79</v>
      </c>
      <c r="I137" s="405" t="s">
        <v>777</v>
      </c>
      <c r="J137" s="405" t="s">
        <v>1251</v>
      </c>
      <c r="K137" s="149">
        <v>0</v>
      </c>
      <c r="M137" s="405" t="s">
        <v>271</v>
      </c>
      <c r="N137" s="405" t="s">
        <v>272</v>
      </c>
      <c r="O137" s="405" t="s">
        <v>237</v>
      </c>
      <c r="P137" s="149">
        <v>46</v>
      </c>
      <c r="Q137" s="149">
        <v>279</v>
      </c>
      <c r="U137" s="405" t="s">
        <v>352</v>
      </c>
    </row>
    <row r="138" spans="1:21" x14ac:dyDescent="0.25">
      <c r="A138" s="405" t="s">
        <v>151</v>
      </c>
      <c r="B138" s="405" t="s">
        <v>851</v>
      </c>
      <c r="G138" s="405" t="s">
        <v>102</v>
      </c>
      <c r="H138" s="405" t="s">
        <v>101</v>
      </c>
      <c r="I138" s="405" t="s">
        <v>777</v>
      </c>
      <c r="J138" s="405" t="s">
        <v>1251</v>
      </c>
      <c r="K138" s="149">
        <v>0</v>
      </c>
      <c r="M138" s="405" t="s">
        <v>11</v>
      </c>
      <c r="N138" s="405" t="s">
        <v>12</v>
      </c>
      <c r="O138" s="405" t="s">
        <v>5</v>
      </c>
      <c r="P138" s="149">
        <v>197</v>
      </c>
      <c r="Q138" s="149">
        <v>957</v>
      </c>
      <c r="U138" s="405" t="s">
        <v>271</v>
      </c>
    </row>
    <row r="139" spans="1:21" x14ac:dyDescent="0.25">
      <c r="A139" s="405" t="s">
        <v>151</v>
      </c>
      <c r="B139" s="405" t="s">
        <v>892</v>
      </c>
      <c r="G139" s="405" t="s">
        <v>106</v>
      </c>
      <c r="H139" s="405" t="s">
        <v>105</v>
      </c>
      <c r="I139" s="405" t="s">
        <v>777</v>
      </c>
      <c r="J139" s="405" t="s">
        <v>1251</v>
      </c>
      <c r="K139" s="149">
        <v>0</v>
      </c>
      <c r="M139" s="405" t="s">
        <v>91</v>
      </c>
      <c r="N139" s="405" t="s">
        <v>92</v>
      </c>
      <c r="O139" s="405" t="s">
        <v>481</v>
      </c>
      <c r="P139" s="149">
        <v>12</v>
      </c>
      <c r="Q139" s="149">
        <v>62</v>
      </c>
      <c r="U139" s="405" t="s">
        <v>11</v>
      </c>
    </row>
    <row r="140" spans="1:21" x14ac:dyDescent="0.25">
      <c r="A140" s="405" t="s">
        <v>151</v>
      </c>
      <c r="B140" s="405" t="s">
        <v>915</v>
      </c>
      <c r="G140" s="405" t="s">
        <v>116</v>
      </c>
      <c r="H140" s="405" t="s">
        <v>115</v>
      </c>
      <c r="I140" s="405" t="s">
        <v>777</v>
      </c>
      <c r="J140" s="405" t="s">
        <v>1251</v>
      </c>
      <c r="K140" s="149">
        <v>0</v>
      </c>
      <c r="M140" s="405" t="s">
        <v>119</v>
      </c>
      <c r="N140" s="405" t="s">
        <v>120</v>
      </c>
      <c r="O140" s="405" t="s">
        <v>481</v>
      </c>
      <c r="P140" s="149">
        <v>70</v>
      </c>
      <c r="Q140" s="149">
        <v>350</v>
      </c>
      <c r="U140" s="405" t="s">
        <v>91</v>
      </c>
    </row>
    <row r="141" spans="1:21" x14ac:dyDescent="0.25">
      <c r="A141" s="405" t="s">
        <v>151</v>
      </c>
      <c r="B141" s="405" t="s">
        <v>946</v>
      </c>
      <c r="G141" s="405" t="s">
        <v>130</v>
      </c>
      <c r="H141" s="405" t="s">
        <v>129</v>
      </c>
      <c r="I141" s="405" t="s">
        <v>777</v>
      </c>
      <c r="J141" s="405" t="s">
        <v>1251</v>
      </c>
      <c r="K141" s="149">
        <v>0</v>
      </c>
      <c r="M141" s="405" t="s">
        <v>51</v>
      </c>
      <c r="N141" s="405" t="s">
        <v>52</v>
      </c>
      <c r="O141" s="405" t="s">
        <v>481</v>
      </c>
      <c r="P141" s="149">
        <v>37</v>
      </c>
      <c r="Q141" s="149">
        <v>228</v>
      </c>
      <c r="U141" s="405" t="s">
        <v>119</v>
      </c>
    </row>
    <row r="142" spans="1:21" x14ac:dyDescent="0.25">
      <c r="A142" s="405" t="s">
        <v>166</v>
      </c>
      <c r="B142" s="405" t="s">
        <v>167</v>
      </c>
      <c r="G142" s="405" t="s">
        <v>138</v>
      </c>
      <c r="H142" s="405" t="s">
        <v>137</v>
      </c>
      <c r="I142" s="405" t="s">
        <v>777</v>
      </c>
      <c r="J142" s="405" t="s">
        <v>1251</v>
      </c>
      <c r="K142" s="149">
        <v>0</v>
      </c>
      <c r="M142" s="405" t="s">
        <v>47</v>
      </c>
      <c r="N142" s="405" t="s">
        <v>48</v>
      </c>
      <c r="O142" s="405" t="s">
        <v>481</v>
      </c>
      <c r="P142" s="149"/>
      <c r="Q142" s="149"/>
      <c r="U142" s="405" t="s">
        <v>51</v>
      </c>
    </row>
    <row r="143" spans="1:21" x14ac:dyDescent="0.25">
      <c r="A143" s="405" t="s">
        <v>166</v>
      </c>
      <c r="B143" s="405" t="s">
        <v>762</v>
      </c>
      <c r="G143" s="405" t="s">
        <v>262</v>
      </c>
      <c r="H143" s="405" t="s">
        <v>261</v>
      </c>
      <c r="I143" s="405" t="s">
        <v>460</v>
      </c>
      <c r="J143" s="78">
        <v>40817</v>
      </c>
      <c r="K143" s="149">
        <v>24</v>
      </c>
      <c r="M143" s="405" t="s">
        <v>127</v>
      </c>
      <c r="N143" s="405" t="s">
        <v>128</v>
      </c>
      <c r="O143" s="405" t="s">
        <v>481</v>
      </c>
      <c r="P143" s="149">
        <v>0</v>
      </c>
      <c r="Q143" s="149">
        <v>0</v>
      </c>
      <c r="U143" s="405" t="s">
        <v>47</v>
      </c>
    </row>
    <row r="144" spans="1:21" x14ac:dyDescent="0.25">
      <c r="A144" s="405" t="s">
        <v>166</v>
      </c>
      <c r="B144" s="405" t="s">
        <v>1169</v>
      </c>
      <c r="G144" s="405" t="s">
        <v>264</v>
      </c>
      <c r="H144" s="405" t="s">
        <v>263</v>
      </c>
      <c r="I144" s="405" t="s">
        <v>460</v>
      </c>
      <c r="J144" s="78">
        <v>40817</v>
      </c>
      <c r="K144" s="149">
        <v>14</v>
      </c>
      <c r="M144" s="405" t="s">
        <v>59</v>
      </c>
      <c r="N144" s="405" t="s">
        <v>60</v>
      </c>
      <c r="O144" s="405" t="s">
        <v>481</v>
      </c>
      <c r="P144" s="149"/>
      <c r="Q144" s="149"/>
      <c r="U144" s="405" t="s">
        <v>127</v>
      </c>
    </row>
    <row r="145" spans="1:21" x14ac:dyDescent="0.25">
      <c r="A145" s="405" t="s">
        <v>173</v>
      </c>
      <c r="B145" s="405" t="s">
        <v>174</v>
      </c>
      <c r="G145" s="405" t="s">
        <v>136</v>
      </c>
      <c r="H145" s="405" t="s">
        <v>135</v>
      </c>
      <c r="I145" s="405" t="s">
        <v>777</v>
      </c>
      <c r="J145" s="405" t="s">
        <v>1251</v>
      </c>
      <c r="K145" s="149">
        <v>0</v>
      </c>
      <c r="M145" s="405" t="s">
        <v>38</v>
      </c>
      <c r="N145" s="405" t="s">
        <v>39</v>
      </c>
      <c r="O145" s="405" t="s">
        <v>481</v>
      </c>
      <c r="P145" s="149"/>
      <c r="Q145" s="149"/>
      <c r="U145" s="405" t="s">
        <v>59</v>
      </c>
    </row>
    <row r="146" spans="1:21" x14ac:dyDescent="0.25">
      <c r="A146" s="405" t="s">
        <v>173</v>
      </c>
      <c r="B146" s="405" t="s">
        <v>178</v>
      </c>
      <c r="G146" s="405" t="s">
        <v>68</v>
      </c>
      <c r="H146" s="405" t="s">
        <v>67</v>
      </c>
      <c r="I146" s="405" t="s">
        <v>777</v>
      </c>
      <c r="J146" s="405" t="s">
        <v>1251</v>
      </c>
      <c r="K146" s="149">
        <v>0</v>
      </c>
      <c r="M146" s="405" t="s">
        <v>75</v>
      </c>
      <c r="N146" s="405" t="s">
        <v>76</v>
      </c>
      <c r="O146" s="405" t="s">
        <v>481</v>
      </c>
      <c r="P146" s="149">
        <v>70</v>
      </c>
      <c r="Q146" s="149">
        <v>376</v>
      </c>
      <c r="U146" s="405" t="s">
        <v>38</v>
      </c>
    </row>
    <row r="147" spans="1:21" x14ac:dyDescent="0.25">
      <c r="A147" s="405" t="s">
        <v>173</v>
      </c>
      <c r="B147" s="405" t="s">
        <v>1081</v>
      </c>
      <c r="G147" s="405" t="s">
        <v>84</v>
      </c>
      <c r="H147" s="405" t="s">
        <v>83</v>
      </c>
      <c r="I147" s="405" t="s">
        <v>777</v>
      </c>
      <c r="J147" s="405" t="s">
        <v>1251</v>
      </c>
      <c r="K147" s="149">
        <v>0</v>
      </c>
      <c r="M147" s="405" t="s">
        <v>73</v>
      </c>
      <c r="N147" s="405" t="s">
        <v>74</v>
      </c>
      <c r="O147" s="405" t="s">
        <v>481</v>
      </c>
      <c r="P147" s="149"/>
      <c r="Q147" s="149"/>
      <c r="U147" s="405" t="s">
        <v>75</v>
      </c>
    </row>
    <row r="148" spans="1:21" x14ac:dyDescent="0.25">
      <c r="A148" s="405" t="s">
        <v>173</v>
      </c>
      <c r="B148" s="405" t="s">
        <v>1080</v>
      </c>
      <c r="G148" s="405" t="s">
        <v>86</v>
      </c>
      <c r="H148" s="405" t="s">
        <v>85</v>
      </c>
      <c r="I148" s="405" t="s">
        <v>777</v>
      </c>
      <c r="J148" s="405" t="s">
        <v>1251</v>
      </c>
      <c r="K148" s="149">
        <v>0</v>
      </c>
      <c r="M148" s="405" t="s">
        <v>40</v>
      </c>
      <c r="N148" s="405" t="s">
        <v>41</v>
      </c>
      <c r="O148" s="405" t="s">
        <v>481</v>
      </c>
      <c r="P148" s="149">
        <v>65</v>
      </c>
      <c r="Q148" s="149">
        <v>350</v>
      </c>
      <c r="U148" s="405" t="s">
        <v>73</v>
      </c>
    </row>
    <row r="149" spans="1:21" x14ac:dyDescent="0.25">
      <c r="A149" s="405" t="s">
        <v>173</v>
      </c>
      <c r="B149" s="405" t="s">
        <v>1072</v>
      </c>
      <c r="G149" s="405" t="s">
        <v>100</v>
      </c>
      <c r="H149" s="405" t="s">
        <v>99</v>
      </c>
      <c r="I149" s="405" t="s">
        <v>460</v>
      </c>
      <c r="J149" s="78">
        <v>41122</v>
      </c>
      <c r="K149" s="149">
        <v>8</v>
      </c>
      <c r="M149" s="405" t="s">
        <v>141</v>
      </c>
      <c r="N149" s="405" t="s">
        <v>142</v>
      </c>
      <c r="O149" s="405" t="s">
        <v>481</v>
      </c>
      <c r="P149" s="149">
        <v>0</v>
      </c>
      <c r="Q149" s="149">
        <v>0</v>
      </c>
      <c r="U149" s="405" t="s">
        <v>40</v>
      </c>
    </row>
    <row r="150" spans="1:21" x14ac:dyDescent="0.25">
      <c r="A150" s="405" t="s">
        <v>173</v>
      </c>
      <c r="B150" s="405" t="s">
        <v>1696</v>
      </c>
      <c r="G150" s="405" t="s">
        <v>104</v>
      </c>
      <c r="H150" s="405" t="s">
        <v>103</v>
      </c>
      <c r="I150" s="405" t="s">
        <v>777</v>
      </c>
      <c r="J150" s="405" t="s">
        <v>1251</v>
      </c>
      <c r="K150" s="149">
        <v>0</v>
      </c>
      <c r="M150" s="405" t="s">
        <v>97</v>
      </c>
      <c r="N150" s="405" t="s">
        <v>98</v>
      </c>
      <c r="O150" s="405" t="s">
        <v>481</v>
      </c>
      <c r="P150" s="149">
        <v>0</v>
      </c>
      <c r="Q150" s="149">
        <v>0</v>
      </c>
      <c r="U150" s="405" t="s">
        <v>141</v>
      </c>
    </row>
    <row r="151" spans="1:21" x14ac:dyDescent="0.25">
      <c r="A151" s="405" t="s">
        <v>173</v>
      </c>
      <c r="B151" s="405" t="s">
        <v>1735</v>
      </c>
      <c r="G151" s="405" t="s">
        <v>98</v>
      </c>
      <c r="H151" s="405" t="s">
        <v>97</v>
      </c>
      <c r="I151" s="405" t="s">
        <v>777</v>
      </c>
      <c r="J151" s="405" t="s">
        <v>1251</v>
      </c>
      <c r="K151" s="149">
        <v>0</v>
      </c>
      <c r="M151" s="405" t="s">
        <v>61</v>
      </c>
      <c r="N151" s="405" t="s">
        <v>62</v>
      </c>
      <c r="O151" s="405" t="s">
        <v>481</v>
      </c>
      <c r="P151" s="149"/>
      <c r="Q151" s="149"/>
      <c r="U151" s="405" t="s">
        <v>97</v>
      </c>
    </row>
    <row r="152" spans="1:21" x14ac:dyDescent="0.25">
      <c r="A152" s="405" t="s">
        <v>180</v>
      </c>
      <c r="B152" s="405" t="s">
        <v>183</v>
      </c>
      <c r="G152" s="405" t="s">
        <v>366</v>
      </c>
      <c r="H152" s="405" t="s">
        <v>383</v>
      </c>
      <c r="I152" s="405" t="s">
        <v>460</v>
      </c>
      <c r="J152" s="78">
        <v>41275</v>
      </c>
      <c r="K152" s="149">
        <v>68</v>
      </c>
      <c r="M152" s="405" t="s">
        <v>77</v>
      </c>
      <c r="N152" s="405" t="s">
        <v>78</v>
      </c>
      <c r="O152" s="405" t="s">
        <v>481</v>
      </c>
      <c r="P152" s="149"/>
      <c r="Q152" s="149"/>
      <c r="U152" s="405" t="s">
        <v>61</v>
      </c>
    </row>
    <row r="153" spans="1:21" x14ac:dyDescent="0.25">
      <c r="A153" s="405" t="s">
        <v>180</v>
      </c>
      <c r="B153" s="405" t="s">
        <v>286</v>
      </c>
      <c r="G153" s="405" t="s">
        <v>994</v>
      </c>
      <c r="H153" s="405" t="s">
        <v>996</v>
      </c>
      <c r="I153" s="405" t="s">
        <v>460</v>
      </c>
      <c r="J153" s="78">
        <v>41275</v>
      </c>
      <c r="K153" s="149">
        <v>14</v>
      </c>
      <c r="M153" s="405" t="s">
        <v>89</v>
      </c>
      <c r="N153" s="405" t="s">
        <v>90</v>
      </c>
      <c r="O153" s="405" t="s">
        <v>481</v>
      </c>
      <c r="P153" s="149">
        <v>19</v>
      </c>
      <c r="Q153" s="149">
        <v>100</v>
      </c>
      <c r="U153" s="405" t="s">
        <v>77</v>
      </c>
    </row>
    <row r="154" spans="1:21" x14ac:dyDescent="0.25">
      <c r="A154" s="405" t="s">
        <v>180</v>
      </c>
      <c r="B154" s="405" t="s">
        <v>181</v>
      </c>
      <c r="G154" s="405" t="s">
        <v>1051</v>
      </c>
      <c r="H154" s="405" t="s">
        <v>357</v>
      </c>
      <c r="I154" s="405" t="s">
        <v>777</v>
      </c>
      <c r="J154" s="405" t="s">
        <v>1251</v>
      </c>
      <c r="K154" s="149"/>
      <c r="M154" s="405" t="s">
        <v>117</v>
      </c>
      <c r="N154" s="405" t="s">
        <v>118</v>
      </c>
      <c r="O154" s="405" t="s">
        <v>481</v>
      </c>
      <c r="P154" s="149">
        <v>11</v>
      </c>
      <c r="Q154" s="149">
        <v>36</v>
      </c>
      <c r="U154" s="405" t="s">
        <v>89</v>
      </c>
    </row>
    <row r="155" spans="1:21" x14ac:dyDescent="0.25">
      <c r="A155" s="405" t="s">
        <v>180</v>
      </c>
      <c r="B155" s="405" t="s">
        <v>993</v>
      </c>
      <c r="G155" s="405" t="s">
        <v>209</v>
      </c>
      <c r="H155" s="405" t="s">
        <v>208</v>
      </c>
      <c r="I155" s="405" t="s">
        <v>460</v>
      </c>
      <c r="J155" s="78">
        <v>40695</v>
      </c>
      <c r="K155" s="149">
        <v>387</v>
      </c>
      <c r="M155" s="405" t="s">
        <v>123</v>
      </c>
      <c r="N155" s="405" t="s">
        <v>124</v>
      </c>
      <c r="O155" s="405" t="s">
        <v>481</v>
      </c>
      <c r="P155" s="149">
        <v>8</v>
      </c>
      <c r="Q155" s="149">
        <v>32</v>
      </c>
      <c r="U155" s="405" t="s">
        <v>117</v>
      </c>
    </row>
    <row r="156" spans="1:21" x14ac:dyDescent="0.25">
      <c r="A156" s="405" t="s">
        <v>180</v>
      </c>
      <c r="B156" s="405" t="s">
        <v>994</v>
      </c>
      <c r="G156" s="405" t="s">
        <v>211</v>
      </c>
      <c r="H156" s="405" t="s">
        <v>210</v>
      </c>
      <c r="I156" s="405" t="s">
        <v>777</v>
      </c>
      <c r="J156" s="78">
        <v>40756</v>
      </c>
      <c r="K156" s="149"/>
      <c r="M156" s="405" t="s">
        <v>125</v>
      </c>
      <c r="N156" s="405" t="s">
        <v>126</v>
      </c>
      <c r="O156" s="405" t="s">
        <v>481</v>
      </c>
      <c r="P156" s="149">
        <v>32</v>
      </c>
      <c r="Q156" s="149">
        <v>171</v>
      </c>
      <c r="U156" s="405" t="s">
        <v>123</v>
      </c>
    </row>
    <row r="157" spans="1:21" x14ac:dyDescent="0.25">
      <c r="A157" s="405" t="s">
        <v>185</v>
      </c>
      <c r="B157" s="405" t="s">
        <v>192</v>
      </c>
      <c r="G157" s="405" t="s">
        <v>1238</v>
      </c>
      <c r="H157" s="405" t="s">
        <v>1205</v>
      </c>
      <c r="I157" s="405" t="s">
        <v>777</v>
      </c>
      <c r="J157" s="405" t="s">
        <v>1251</v>
      </c>
      <c r="K157" s="149"/>
      <c r="M157" s="405" t="s">
        <v>63</v>
      </c>
      <c r="N157" s="405" t="s">
        <v>64</v>
      </c>
      <c r="O157" s="405" t="s">
        <v>481</v>
      </c>
      <c r="P157" s="149"/>
      <c r="Q157" s="149"/>
      <c r="U157" s="405" t="s">
        <v>125</v>
      </c>
    </row>
    <row r="158" spans="1:21" x14ac:dyDescent="0.25">
      <c r="A158" s="405" t="s">
        <v>185</v>
      </c>
      <c r="B158" s="405" t="s">
        <v>12</v>
      </c>
      <c r="G158" s="405" t="s">
        <v>1159</v>
      </c>
      <c r="H158" s="405" t="s">
        <v>1153</v>
      </c>
      <c r="I158" s="405" t="s">
        <v>460</v>
      </c>
      <c r="J158" s="78">
        <v>42430</v>
      </c>
      <c r="K158" s="149">
        <v>61</v>
      </c>
      <c r="M158" s="405" t="s">
        <v>81</v>
      </c>
      <c r="N158" s="405" t="s">
        <v>82</v>
      </c>
      <c r="O158" s="405" t="s">
        <v>481</v>
      </c>
      <c r="P158" s="149"/>
      <c r="Q158" s="149"/>
      <c r="U158" s="405" t="s">
        <v>63</v>
      </c>
    </row>
    <row r="159" spans="1:21" x14ac:dyDescent="0.25">
      <c r="A159" s="405" t="s">
        <v>185</v>
      </c>
      <c r="B159" s="405" t="s">
        <v>194</v>
      </c>
      <c r="G159" s="405" t="s">
        <v>1158</v>
      </c>
      <c r="H159" s="405" t="s">
        <v>1152</v>
      </c>
      <c r="I159" s="405" t="s">
        <v>777</v>
      </c>
      <c r="J159" s="78">
        <v>42401</v>
      </c>
      <c r="K159" s="149"/>
      <c r="M159" s="405" t="s">
        <v>57</v>
      </c>
      <c r="N159" s="405" t="s">
        <v>58</v>
      </c>
      <c r="O159" s="405" t="s">
        <v>481</v>
      </c>
      <c r="P159" s="149"/>
      <c r="Q159" s="149"/>
      <c r="U159" s="405" t="s">
        <v>81</v>
      </c>
    </row>
    <row r="160" spans="1:21" x14ac:dyDescent="0.25">
      <c r="A160" s="405" t="s">
        <v>185</v>
      </c>
      <c r="B160" s="405" t="s">
        <v>196</v>
      </c>
      <c r="G160" s="405" t="s">
        <v>233</v>
      </c>
      <c r="H160" s="405" t="s">
        <v>232</v>
      </c>
      <c r="I160" s="405" t="s">
        <v>777</v>
      </c>
      <c r="J160" s="78">
        <v>41091</v>
      </c>
      <c r="K160" s="149"/>
      <c r="M160" s="405" t="s">
        <v>55</v>
      </c>
      <c r="N160" s="405" t="s">
        <v>56</v>
      </c>
      <c r="O160" s="405" t="s">
        <v>481</v>
      </c>
      <c r="P160" s="149">
        <v>0</v>
      </c>
      <c r="Q160" s="149">
        <v>0</v>
      </c>
      <c r="U160" s="405" t="s">
        <v>57</v>
      </c>
    </row>
    <row r="161" spans="1:21" x14ac:dyDescent="0.25">
      <c r="A161" s="405" t="s">
        <v>185</v>
      </c>
      <c r="B161" s="405" t="s">
        <v>475</v>
      </c>
      <c r="G161" s="405" t="s">
        <v>235</v>
      </c>
      <c r="H161" s="405" t="s">
        <v>234</v>
      </c>
      <c r="I161" s="405" t="s">
        <v>777</v>
      </c>
      <c r="J161" s="405" t="s">
        <v>1251</v>
      </c>
      <c r="K161" s="149"/>
      <c r="M161" s="405" t="s">
        <v>42</v>
      </c>
      <c r="N161" s="405" t="s">
        <v>43</v>
      </c>
      <c r="O161" s="405" t="s">
        <v>481</v>
      </c>
      <c r="P161" s="149">
        <v>14</v>
      </c>
      <c r="Q161" s="149">
        <v>81</v>
      </c>
      <c r="U161" s="405" t="s">
        <v>55</v>
      </c>
    </row>
    <row r="162" spans="1:21" x14ac:dyDescent="0.25">
      <c r="A162" s="405" t="s">
        <v>185</v>
      </c>
      <c r="B162" s="405" t="s">
        <v>186</v>
      </c>
      <c r="G162" s="405" t="s">
        <v>295</v>
      </c>
      <c r="H162" s="405" t="s">
        <v>1161</v>
      </c>
      <c r="I162" s="405" t="s">
        <v>777</v>
      </c>
      <c r="J162" s="405" t="s">
        <v>1251</v>
      </c>
      <c r="K162" s="149"/>
      <c r="M162" s="405" t="s">
        <v>45</v>
      </c>
      <c r="N162" s="405" t="s">
        <v>44</v>
      </c>
      <c r="O162" s="405" t="s">
        <v>481</v>
      </c>
      <c r="P162" s="149">
        <v>4</v>
      </c>
      <c r="Q162" s="149">
        <v>27</v>
      </c>
      <c r="U162" s="405" t="s">
        <v>42</v>
      </c>
    </row>
    <row r="163" spans="1:21" x14ac:dyDescent="0.25">
      <c r="A163" s="405" t="s">
        <v>185</v>
      </c>
      <c r="B163" s="405" t="s">
        <v>223</v>
      </c>
      <c r="G163" s="405" t="s">
        <v>472</v>
      </c>
      <c r="H163" s="405" t="s">
        <v>473</v>
      </c>
      <c r="I163" s="405" t="s">
        <v>777</v>
      </c>
      <c r="J163" s="78">
        <v>41091</v>
      </c>
      <c r="K163" s="149">
        <v>0</v>
      </c>
      <c r="M163" s="405" t="s">
        <v>46</v>
      </c>
      <c r="N163" s="405" t="s">
        <v>552</v>
      </c>
      <c r="O163" s="405" t="s">
        <v>481</v>
      </c>
      <c r="P163" s="149">
        <v>11</v>
      </c>
      <c r="Q163" s="149">
        <v>45</v>
      </c>
      <c r="U163" s="405" t="s">
        <v>45</v>
      </c>
    </row>
    <row r="164" spans="1:21" x14ac:dyDescent="0.25">
      <c r="A164" s="405" t="s">
        <v>185</v>
      </c>
      <c r="B164" s="405" t="s">
        <v>190</v>
      </c>
      <c r="G164" s="405" t="s">
        <v>1175</v>
      </c>
      <c r="H164" s="405" t="s">
        <v>1156</v>
      </c>
      <c r="I164" s="405" t="s">
        <v>460</v>
      </c>
      <c r="J164" s="78">
        <v>42401</v>
      </c>
      <c r="K164" s="149">
        <v>30</v>
      </c>
      <c r="M164" s="405" t="s">
        <v>374</v>
      </c>
      <c r="N164" s="405" t="s">
        <v>364</v>
      </c>
      <c r="O164" s="405" t="s">
        <v>5</v>
      </c>
      <c r="P164" s="149">
        <v>144</v>
      </c>
      <c r="Q164" s="149">
        <v>754</v>
      </c>
      <c r="U164" s="405" t="s">
        <v>46</v>
      </c>
    </row>
    <row r="165" spans="1:21" x14ac:dyDescent="0.25">
      <c r="A165" s="405" t="s">
        <v>185</v>
      </c>
      <c r="B165" s="405" t="s">
        <v>200</v>
      </c>
      <c r="G165" s="405" t="s">
        <v>369</v>
      </c>
      <c r="H165" s="405" t="s">
        <v>147</v>
      </c>
      <c r="I165" s="405" t="s">
        <v>460</v>
      </c>
      <c r="J165" s="78">
        <v>40787</v>
      </c>
      <c r="K165" s="149">
        <v>46</v>
      </c>
      <c r="M165" s="405" t="s">
        <v>375</v>
      </c>
      <c r="N165" s="405" t="s">
        <v>466</v>
      </c>
      <c r="O165" s="405" t="s">
        <v>5</v>
      </c>
      <c r="P165" s="149">
        <v>12</v>
      </c>
      <c r="Q165" s="149">
        <v>53</v>
      </c>
      <c r="U165" s="405" t="s">
        <v>374</v>
      </c>
    </row>
    <row r="166" spans="1:21" x14ac:dyDescent="0.25">
      <c r="A166" s="405" t="s">
        <v>185</v>
      </c>
      <c r="B166" s="405" t="s">
        <v>202</v>
      </c>
      <c r="G166" s="405" t="s">
        <v>951</v>
      </c>
      <c r="H166" s="405" t="s">
        <v>950</v>
      </c>
      <c r="I166" s="405" t="s">
        <v>460</v>
      </c>
      <c r="J166" s="78">
        <v>40787</v>
      </c>
      <c r="K166" s="149">
        <v>22</v>
      </c>
      <c r="M166" s="405" t="s">
        <v>376</v>
      </c>
      <c r="N166" s="405" t="s">
        <v>363</v>
      </c>
      <c r="O166" s="405" t="s">
        <v>27</v>
      </c>
      <c r="P166" s="149">
        <v>144</v>
      </c>
      <c r="Q166" s="149">
        <v>630</v>
      </c>
      <c r="U166" s="405" t="s">
        <v>375</v>
      </c>
    </row>
    <row r="167" spans="1:21" x14ac:dyDescent="0.25">
      <c r="A167" s="405" t="s">
        <v>185</v>
      </c>
      <c r="B167" s="405" t="s">
        <v>204</v>
      </c>
      <c r="G167" s="405" t="s">
        <v>365</v>
      </c>
      <c r="H167" s="405" t="s">
        <v>384</v>
      </c>
      <c r="I167" s="405" t="s">
        <v>777</v>
      </c>
      <c r="J167" s="78">
        <v>40787</v>
      </c>
      <c r="K167" s="149">
        <v>0</v>
      </c>
      <c r="M167" s="405" t="s">
        <v>388</v>
      </c>
      <c r="N167" s="405" t="s">
        <v>12</v>
      </c>
      <c r="O167" s="405" t="s">
        <v>151</v>
      </c>
      <c r="P167" s="149">
        <v>73</v>
      </c>
      <c r="Q167" s="149">
        <v>274</v>
      </c>
      <c r="U167" s="405" t="s">
        <v>376</v>
      </c>
    </row>
    <row r="168" spans="1:21" x14ac:dyDescent="0.25">
      <c r="A168" s="405" t="s">
        <v>185</v>
      </c>
      <c r="B168" s="405" t="s">
        <v>205</v>
      </c>
      <c r="G168" s="405" t="s">
        <v>142</v>
      </c>
      <c r="H168" s="405" t="s">
        <v>141</v>
      </c>
      <c r="I168" s="405" t="s">
        <v>777</v>
      </c>
      <c r="J168" s="78">
        <v>41275</v>
      </c>
      <c r="K168" s="149">
        <v>0</v>
      </c>
      <c r="M168" s="405" t="s">
        <v>389</v>
      </c>
      <c r="N168" s="405" t="s">
        <v>12</v>
      </c>
      <c r="O168" s="405" t="s">
        <v>185</v>
      </c>
      <c r="P168" s="149">
        <v>226</v>
      </c>
      <c r="Q168" s="149">
        <v>1048</v>
      </c>
      <c r="U168" s="405" t="s">
        <v>388</v>
      </c>
    </row>
    <row r="169" spans="1:21" x14ac:dyDescent="0.25">
      <c r="A169" s="405" t="s">
        <v>185</v>
      </c>
      <c r="B169" s="405" t="s">
        <v>207</v>
      </c>
      <c r="G169" s="405" t="s">
        <v>907</v>
      </c>
      <c r="H169" s="405" t="s">
        <v>908</v>
      </c>
      <c r="I169" s="405" t="s">
        <v>460</v>
      </c>
      <c r="J169" s="78">
        <v>41703</v>
      </c>
      <c r="K169" s="149">
        <v>44</v>
      </c>
      <c r="M169" s="405" t="s">
        <v>390</v>
      </c>
      <c r="N169" s="405" t="s">
        <v>205</v>
      </c>
      <c r="O169" s="405" t="s">
        <v>185</v>
      </c>
      <c r="P169" s="149"/>
      <c r="Q169" s="149"/>
      <c r="U169" s="405" t="s">
        <v>389</v>
      </c>
    </row>
    <row r="170" spans="1:21" x14ac:dyDescent="0.25">
      <c r="A170" s="405" t="s">
        <v>185</v>
      </c>
      <c r="B170" s="405" t="s">
        <v>209</v>
      </c>
      <c r="G170" s="405" t="s">
        <v>917</v>
      </c>
      <c r="H170" s="405" t="s">
        <v>918</v>
      </c>
      <c r="I170" s="405" t="s">
        <v>460</v>
      </c>
      <c r="J170" s="78">
        <v>41734</v>
      </c>
      <c r="K170" s="149">
        <v>22</v>
      </c>
      <c r="M170" s="405" t="s">
        <v>391</v>
      </c>
      <c r="N170" s="405" t="s">
        <v>12</v>
      </c>
      <c r="O170" s="405" t="s">
        <v>301</v>
      </c>
      <c r="P170" s="149"/>
      <c r="Q170" s="149"/>
      <c r="U170" s="405" t="s">
        <v>390</v>
      </c>
    </row>
    <row r="171" spans="1:21" x14ac:dyDescent="0.25">
      <c r="A171" s="405" t="s">
        <v>185</v>
      </c>
      <c r="B171" s="405" t="s">
        <v>211</v>
      </c>
      <c r="G171" s="405" t="s">
        <v>8</v>
      </c>
      <c r="H171" s="405" t="s">
        <v>7</v>
      </c>
      <c r="I171" s="405" t="s">
        <v>460</v>
      </c>
      <c r="J171" s="78">
        <v>41183</v>
      </c>
      <c r="K171" s="149">
        <v>13</v>
      </c>
      <c r="M171" s="405" t="s">
        <v>476</v>
      </c>
      <c r="N171" s="405" t="s">
        <v>475</v>
      </c>
      <c r="O171" s="405" t="s">
        <v>185</v>
      </c>
      <c r="P171" s="149">
        <v>3</v>
      </c>
      <c r="Q171" s="149">
        <v>18</v>
      </c>
      <c r="U171" s="405" t="s">
        <v>391</v>
      </c>
    </row>
    <row r="172" spans="1:21" x14ac:dyDescent="0.25">
      <c r="A172" s="405" t="s">
        <v>185</v>
      </c>
      <c r="B172" s="405" t="s">
        <v>213</v>
      </c>
      <c r="G172" s="405" t="s">
        <v>1186</v>
      </c>
      <c r="H172" s="405" t="s">
        <v>1194</v>
      </c>
      <c r="I172" s="405" t="s">
        <v>460</v>
      </c>
      <c r="J172" s="78">
        <v>42584</v>
      </c>
      <c r="K172" s="149">
        <v>18</v>
      </c>
      <c r="M172" s="405" t="s">
        <v>469</v>
      </c>
      <c r="N172" s="405" t="s">
        <v>468</v>
      </c>
      <c r="O172" s="405" t="s">
        <v>481</v>
      </c>
      <c r="P172" s="149">
        <v>0</v>
      </c>
      <c r="Q172" s="149">
        <v>0</v>
      </c>
      <c r="U172" s="405" t="s">
        <v>476</v>
      </c>
    </row>
    <row r="173" spans="1:21" x14ac:dyDescent="0.25">
      <c r="A173" s="405" t="s">
        <v>185</v>
      </c>
      <c r="B173" s="405" t="s">
        <v>215</v>
      </c>
      <c r="G173" s="405" t="s">
        <v>266</v>
      </c>
      <c r="H173" s="405" t="s">
        <v>265</v>
      </c>
      <c r="I173" s="405" t="s">
        <v>777</v>
      </c>
      <c r="J173" s="78">
        <v>40817</v>
      </c>
      <c r="K173" s="149"/>
      <c r="M173" s="405" t="s">
        <v>471</v>
      </c>
      <c r="N173" s="405" t="s">
        <v>470</v>
      </c>
      <c r="O173" s="405" t="s">
        <v>151</v>
      </c>
      <c r="P173" s="149">
        <v>0</v>
      </c>
      <c r="Q173" s="149">
        <v>0</v>
      </c>
      <c r="U173" s="405" t="s">
        <v>469</v>
      </c>
    </row>
    <row r="174" spans="1:21" x14ac:dyDescent="0.25">
      <c r="A174" s="405" t="s">
        <v>185</v>
      </c>
      <c r="B174" s="405" t="s">
        <v>217</v>
      </c>
      <c r="G174" s="405" t="s">
        <v>213</v>
      </c>
      <c r="H174" s="405" t="s">
        <v>212</v>
      </c>
      <c r="I174" s="405" t="s">
        <v>460</v>
      </c>
      <c r="J174" s="405" t="s">
        <v>1251</v>
      </c>
      <c r="K174" s="149">
        <v>44</v>
      </c>
      <c r="M174" s="405" t="s">
        <v>473</v>
      </c>
      <c r="N174" s="405" t="s">
        <v>472</v>
      </c>
      <c r="O174" s="405" t="s">
        <v>151</v>
      </c>
      <c r="P174" s="149">
        <v>0</v>
      </c>
      <c r="Q174" s="149">
        <v>0</v>
      </c>
      <c r="U174" s="405" t="s">
        <v>471</v>
      </c>
    </row>
    <row r="175" spans="1:21" x14ac:dyDescent="0.25">
      <c r="A175" s="405" t="s">
        <v>185</v>
      </c>
      <c r="B175" s="405" t="s">
        <v>229</v>
      </c>
      <c r="G175" s="405" t="s">
        <v>162</v>
      </c>
      <c r="H175" s="405" t="s">
        <v>161</v>
      </c>
      <c r="I175" s="405" t="s">
        <v>777</v>
      </c>
      <c r="J175" s="405" t="s">
        <v>1251</v>
      </c>
      <c r="K175" s="149">
        <v>0</v>
      </c>
      <c r="M175" s="405" t="s">
        <v>474</v>
      </c>
      <c r="N175" s="405" t="s">
        <v>793</v>
      </c>
      <c r="O175" s="405" t="s">
        <v>151</v>
      </c>
      <c r="P175" s="149">
        <v>0</v>
      </c>
      <c r="Q175" s="149">
        <v>0</v>
      </c>
      <c r="U175" s="405" t="s">
        <v>473</v>
      </c>
    </row>
    <row r="176" spans="1:21" x14ac:dyDescent="0.25">
      <c r="A176" s="405" t="s">
        <v>185</v>
      </c>
      <c r="B176" s="405" t="s">
        <v>219</v>
      </c>
      <c r="G176" s="405" t="s">
        <v>291</v>
      </c>
      <c r="H176" s="405" t="s">
        <v>290</v>
      </c>
      <c r="I176" s="405" t="s">
        <v>460</v>
      </c>
      <c r="J176" s="78">
        <v>41609</v>
      </c>
      <c r="K176" s="149">
        <v>75</v>
      </c>
      <c r="M176" s="405" t="s">
        <v>752</v>
      </c>
      <c r="N176" s="405" t="s">
        <v>748</v>
      </c>
      <c r="O176" s="405" t="s">
        <v>748</v>
      </c>
      <c r="P176" s="149">
        <v>5</v>
      </c>
      <c r="Q176" s="149">
        <v>32</v>
      </c>
      <c r="U176" s="405" t="s">
        <v>474</v>
      </c>
    </row>
    <row r="177" spans="1:21" x14ac:dyDescent="0.25">
      <c r="A177" s="405" t="s">
        <v>185</v>
      </c>
      <c r="B177" s="405" t="s">
        <v>221</v>
      </c>
      <c r="G177" s="405" t="s">
        <v>289</v>
      </c>
      <c r="H177" s="405" t="s">
        <v>287</v>
      </c>
      <c r="I177" s="405" t="s">
        <v>460</v>
      </c>
      <c r="J177" s="78">
        <v>40878</v>
      </c>
      <c r="K177" s="149">
        <v>66</v>
      </c>
      <c r="M177" s="405" t="s">
        <v>754</v>
      </c>
      <c r="N177" s="405" t="s">
        <v>753</v>
      </c>
      <c r="O177" s="405" t="s">
        <v>309</v>
      </c>
      <c r="P177" s="149"/>
      <c r="Q177" s="149">
        <v>872</v>
      </c>
      <c r="U177" s="405" t="s">
        <v>752</v>
      </c>
    </row>
    <row r="178" spans="1:21" x14ac:dyDescent="0.25">
      <c r="A178" s="405" t="s">
        <v>185</v>
      </c>
      <c r="B178" s="405" t="s">
        <v>225</v>
      </c>
      <c r="G178" s="405" t="s">
        <v>909</v>
      </c>
      <c r="H178" s="405" t="s">
        <v>910</v>
      </c>
      <c r="I178" s="405" t="s">
        <v>460</v>
      </c>
      <c r="J178" s="78">
        <v>41947</v>
      </c>
      <c r="K178" s="149">
        <v>35</v>
      </c>
      <c r="M178" s="405" t="s">
        <v>795</v>
      </c>
      <c r="N178" s="405" t="s">
        <v>794</v>
      </c>
      <c r="O178" s="405" t="s">
        <v>151</v>
      </c>
      <c r="P178" s="149">
        <v>0</v>
      </c>
      <c r="Q178" s="149">
        <v>0</v>
      </c>
      <c r="U178" s="405" t="s">
        <v>754</v>
      </c>
    </row>
    <row r="179" spans="1:21" x14ac:dyDescent="0.25">
      <c r="A179" s="405" t="s">
        <v>185</v>
      </c>
      <c r="B179" s="405" t="s">
        <v>227</v>
      </c>
      <c r="G179" s="405" t="s">
        <v>372</v>
      </c>
      <c r="H179" s="405" t="s">
        <v>294</v>
      </c>
      <c r="I179" s="405" t="s">
        <v>460</v>
      </c>
      <c r="J179" s="78">
        <v>40878</v>
      </c>
      <c r="K179" s="149">
        <v>44</v>
      </c>
      <c r="M179" s="405" t="s">
        <v>791</v>
      </c>
      <c r="N179" s="405" t="s">
        <v>792</v>
      </c>
      <c r="O179" s="405" t="s">
        <v>27</v>
      </c>
      <c r="P179" s="149">
        <v>57</v>
      </c>
      <c r="Q179" s="149">
        <v>269</v>
      </c>
      <c r="U179" s="405" t="s">
        <v>795</v>
      </c>
    </row>
    <row r="180" spans="1:21" x14ac:dyDescent="0.25">
      <c r="A180" s="405" t="s">
        <v>185</v>
      </c>
      <c r="B180" s="405" t="s">
        <v>1098</v>
      </c>
      <c r="G180" s="405" t="s">
        <v>373</v>
      </c>
      <c r="H180" s="405" t="s">
        <v>387</v>
      </c>
      <c r="I180" s="405" t="s">
        <v>777</v>
      </c>
      <c r="J180" s="405" t="s">
        <v>1251</v>
      </c>
      <c r="K180" s="149">
        <v>0</v>
      </c>
      <c r="M180" s="405" t="s">
        <v>785</v>
      </c>
      <c r="N180" s="405" t="s">
        <v>797</v>
      </c>
      <c r="O180" s="405" t="s">
        <v>5</v>
      </c>
      <c r="P180" s="149">
        <v>0</v>
      </c>
      <c r="Q180" s="149">
        <v>0</v>
      </c>
      <c r="U180" s="405" t="s">
        <v>791</v>
      </c>
    </row>
    <row r="181" spans="1:21" x14ac:dyDescent="0.25">
      <c r="A181" s="405" t="s">
        <v>230</v>
      </c>
      <c r="B181" s="405" t="s">
        <v>169</v>
      </c>
      <c r="G181" s="405" t="s">
        <v>293</v>
      </c>
      <c r="H181" s="405" t="s">
        <v>292</v>
      </c>
      <c r="I181" s="405" t="s">
        <v>777</v>
      </c>
      <c r="J181" s="405" t="s">
        <v>1251</v>
      </c>
      <c r="K181" s="149"/>
      <c r="M181" s="405" t="s">
        <v>798</v>
      </c>
      <c r="N181" s="405" t="s">
        <v>804</v>
      </c>
      <c r="O181" s="405" t="s">
        <v>151</v>
      </c>
      <c r="P181" s="149">
        <v>0</v>
      </c>
      <c r="Q181" s="149">
        <v>0</v>
      </c>
      <c r="U181" s="405" t="s">
        <v>785</v>
      </c>
    </row>
    <row r="182" spans="1:21" x14ac:dyDescent="0.25">
      <c r="A182" s="405" t="s">
        <v>230</v>
      </c>
      <c r="B182" s="405" t="s">
        <v>231</v>
      </c>
      <c r="G182" s="405" t="s">
        <v>359</v>
      </c>
      <c r="H182" s="405" t="s">
        <v>773</v>
      </c>
      <c r="I182" s="405" t="s">
        <v>777</v>
      </c>
      <c r="J182" s="78">
        <v>40787</v>
      </c>
      <c r="K182" s="149">
        <v>9</v>
      </c>
      <c r="M182" s="405" t="s">
        <v>802</v>
      </c>
      <c r="N182" s="405" t="s">
        <v>803</v>
      </c>
      <c r="O182" s="405" t="s">
        <v>151</v>
      </c>
      <c r="P182" s="149">
        <v>0</v>
      </c>
      <c r="Q182" s="149">
        <v>0</v>
      </c>
      <c r="U182" s="405" t="s">
        <v>798</v>
      </c>
    </row>
    <row r="183" spans="1:21" x14ac:dyDescent="0.25">
      <c r="A183" s="405" t="s">
        <v>230</v>
      </c>
      <c r="B183" s="405" t="s">
        <v>233</v>
      </c>
      <c r="G183" s="405" t="s">
        <v>171</v>
      </c>
      <c r="H183" s="405" t="s">
        <v>170</v>
      </c>
      <c r="I183" s="405" t="s">
        <v>777</v>
      </c>
      <c r="J183" s="405" t="s">
        <v>1251</v>
      </c>
      <c r="K183" s="149"/>
      <c r="M183" s="405" t="s">
        <v>807</v>
      </c>
      <c r="N183" s="405" t="s">
        <v>806</v>
      </c>
      <c r="O183" s="405" t="s">
        <v>151</v>
      </c>
      <c r="P183" s="149">
        <v>0</v>
      </c>
      <c r="Q183" s="149">
        <v>0</v>
      </c>
      <c r="U183" s="405" t="s">
        <v>802</v>
      </c>
    </row>
    <row r="184" spans="1:21" x14ac:dyDescent="0.25">
      <c r="A184" s="405" t="s">
        <v>230</v>
      </c>
      <c r="B184" s="405" t="s">
        <v>235</v>
      </c>
      <c r="G184" s="405" t="s">
        <v>149</v>
      </c>
      <c r="H184" s="405" t="s">
        <v>148</v>
      </c>
      <c r="I184" s="405" t="s">
        <v>460</v>
      </c>
      <c r="J184" s="78">
        <v>40878</v>
      </c>
      <c r="K184" s="149">
        <v>57</v>
      </c>
      <c r="M184" s="405" t="s">
        <v>808</v>
      </c>
      <c r="N184" s="405" t="s">
        <v>810</v>
      </c>
      <c r="O184" s="405" t="s">
        <v>151</v>
      </c>
      <c r="P184" s="149">
        <v>0</v>
      </c>
      <c r="Q184" s="149">
        <v>0</v>
      </c>
      <c r="U184" s="405" t="s">
        <v>807</v>
      </c>
    </row>
    <row r="185" spans="1:21" x14ac:dyDescent="0.25">
      <c r="A185" s="405" t="s">
        <v>230</v>
      </c>
      <c r="B185" s="405" t="s">
        <v>359</v>
      </c>
      <c r="G185" s="405" t="s">
        <v>1160</v>
      </c>
      <c r="H185" s="405" t="s">
        <v>1154</v>
      </c>
      <c r="I185" s="405" t="s">
        <v>460</v>
      </c>
      <c r="J185" s="78">
        <v>42401</v>
      </c>
      <c r="K185" s="149">
        <v>37</v>
      </c>
      <c r="M185" s="405" t="s">
        <v>809</v>
      </c>
      <c r="N185" s="405" t="s">
        <v>805</v>
      </c>
      <c r="O185" s="405" t="s">
        <v>151</v>
      </c>
      <c r="P185" s="149">
        <v>0</v>
      </c>
      <c r="Q185" s="149">
        <v>0</v>
      </c>
      <c r="U185" s="405" t="s">
        <v>808</v>
      </c>
    </row>
    <row r="186" spans="1:21" x14ac:dyDescent="0.25">
      <c r="A186" s="405" t="s">
        <v>230</v>
      </c>
      <c r="B186" s="405" t="s">
        <v>171</v>
      </c>
      <c r="G186" s="405" t="s">
        <v>793</v>
      </c>
      <c r="H186" s="405" t="s">
        <v>474</v>
      </c>
      <c r="I186" s="405" t="s">
        <v>777</v>
      </c>
      <c r="J186" s="78">
        <v>41091</v>
      </c>
      <c r="K186" s="149">
        <v>0</v>
      </c>
      <c r="M186" s="405" t="s">
        <v>811</v>
      </c>
      <c r="N186" s="405" t="s">
        <v>812</v>
      </c>
      <c r="O186" s="405" t="s">
        <v>151</v>
      </c>
      <c r="P186" s="149">
        <v>0</v>
      </c>
      <c r="Q186" s="149">
        <v>0</v>
      </c>
      <c r="U186" s="405" t="s">
        <v>809</v>
      </c>
    </row>
    <row r="187" spans="1:21" x14ac:dyDescent="0.25">
      <c r="A187" s="405" t="s">
        <v>230</v>
      </c>
      <c r="B187" s="405" t="s">
        <v>907</v>
      </c>
      <c r="G187" s="405" t="s">
        <v>794</v>
      </c>
      <c r="H187" s="405" t="s">
        <v>795</v>
      </c>
      <c r="I187" s="405" t="s">
        <v>777</v>
      </c>
      <c r="J187" s="405" t="s">
        <v>1251</v>
      </c>
      <c r="K187" s="149">
        <v>0</v>
      </c>
      <c r="M187" s="405" t="s">
        <v>814</v>
      </c>
      <c r="N187" s="405" t="s">
        <v>813</v>
      </c>
      <c r="O187" s="405" t="s">
        <v>151</v>
      </c>
      <c r="P187" s="149">
        <v>405</v>
      </c>
      <c r="Q187" s="149">
        <v>1855</v>
      </c>
      <c r="U187" s="405" t="s">
        <v>811</v>
      </c>
    </row>
    <row r="188" spans="1:21" x14ac:dyDescent="0.25">
      <c r="A188" s="405" t="s">
        <v>230</v>
      </c>
      <c r="B188" s="405" t="s">
        <v>917</v>
      </c>
      <c r="G188" s="405" t="s">
        <v>164</v>
      </c>
      <c r="H188" s="405" t="s">
        <v>163</v>
      </c>
      <c r="I188" s="405" t="s">
        <v>777</v>
      </c>
      <c r="J188" s="405" t="s">
        <v>1251</v>
      </c>
      <c r="K188" s="149">
        <v>0</v>
      </c>
      <c r="M188" s="405" t="s">
        <v>816</v>
      </c>
      <c r="N188" s="405" t="s">
        <v>815</v>
      </c>
      <c r="O188" s="405" t="s">
        <v>151</v>
      </c>
      <c r="P188" s="149">
        <v>0</v>
      </c>
      <c r="Q188" s="149">
        <v>0</v>
      </c>
      <c r="U188" s="405" t="s">
        <v>814</v>
      </c>
    </row>
    <row r="189" spans="1:21" x14ac:dyDescent="0.25">
      <c r="A189" s="405" t="s">
        <v>230</v>
      </c>
      <c r="B189" s="405" t="s">
        <v>1228</v>
      </c>
      <c r="G189" s="405" t="s">
        <v>552</v>
      </c>
      <c r="H189" s="405" t="s">
        <v>46</v>
      </c>
      <c r="I189" s="405" t="s">
        <v>460</v>
      </c>
      <c r="J189" s="78">
        <v>41275</v>
      </c>
      <c r="K189" s="149">
        <v>11</v>
      </c>
      <c r="M189" s="405" t="s">
        <v>818</v>
      </c>
      <c r="N189" s="405" t="s">
        <v>817</v>
      </c>
      <c r="O189" s="405" t="s">
        <v>299</v>
      </c>
      <c r="P189" s="149">
        <v>0</v>
      </c>
      <c r="Q189" s="149">
        <v>0</v>
      </c>
      <c r="U189" s="405" t="s">
        <v>816</v>
      </c>
    </row>
    <row r="190" spans="1:21" x14ac:dyDescent="0.25">
      <c r="A190" s="405" t="s">
        <v>230</v>
      </c>
      <c r="B190" s="405" t="s">
        <v>1238</v>
      </c>
      <c r="G190" s="405" t="s">
        <v>1078</v>
      </c>
      <c r="H190" s="405" t="s">
        <v>1062</v>
      </c>
      <c r="I190" s="405" t="s">
        <v>460</v>
      </c>
      <c r="J190" s="78">
        <v>42036</v>
      </c>
      <c r="K190" s="149">
        <v>33</v>
      </c>
      <c r="M190" s="405" t="s">
        <v>822</v>
      </c>
      <c r="N190" s="405" t="s">
        <v>821</v>
      </c>
      <c r="O190" s="405" t="s">
        <v>819</v>
      </c>
      <c r="P190" s="149"/>
      <c r="Q190" s="149"/>
      <c r="U190" s="405" t="s">
        <v>818</v>
      </c>
    </row>
    <row r="191" spans="1:21" x14ac:dyDescent="0.25">
      <c r="A191" s="405" t="s">
        <v>230</v>
      </c>
      <c r="B191" s="405" t="s">
        <v>1239</v>
      </c>
      <c r="G191" s="405" t="s">
        <v>761</v>
      </c>
      <c r="H191" s="405" t="s">
        <v>296</v>
      </c>
      <c r="I191" s="405" t="s">
        <v>460</v>
      </c>
      <c r="J191" s="78">
        <v>41000</v>
      </c>
      <c r="K191" s="149">
        <v>45</v>
      </c>
      <c r="M191" s="405" t="s">
        <v>823</v>
      </c>
      <c r="N191" s="405" t="s">
        <v>824</v>
      </c>
      <c r="O191" s="405" t="s">
        <v>5</v>
      </c>
      <c r="P191" s="149"/>
      <c r="Q191" s="149"/>
      <c r="U191" s="405" t="s">
        <v>822</v>
      </c>
    </row>
    <row r="192" spans="1:21" x14ac:dyDescent="0.25">
      <c r="A192" s="405" t="s">
        <v>230</v>
      </c>
      <c r="B192" s="405" t="s">
        <v>1229</v>
      </c>
      <c r="G192" s="405" t="s">
        <v>535</v>
      </c>
      <c r="H192" s="405" t="s">
        <v>764</v>
      </c>
      <c r="I192" s="405" t="s">
        <v>777</v>
      </c>
      <c r="J192" s="405" t="s">
        <v>1251</v>
      </c>
      <c r="K192" s="149">
        <v>118</v>
      </c>
      <c r="M192" s="405" t="s">
        <v>287</v>
      </c>
      <c r="N192" s="405" t="s">
        <v>289</v>
      </c>
      <c r="O192" s="405" t="s">
        <v>288</v>
      </c>
      <c r="P192" s="149">
        <v>66</v>
      </c>
      <c r="Q192" s="149">
        <v>350</v>
      </c>
      <c r="U192" s="405" t="s">
        <v>823</v>
      </c>
    </row>
    <row r="193" spans="1:21" x14ac:dyDescent="0.25">
      <c r="A193" s="405" t="s">
        <v>230</v>
      </c>
      <c r="B193" s="405" t="s">
        <v>1240</v>
      </c>
      <c r="G193" s="405" t="s">
        <v>921</v>
      </c>
      <c r="H193" s="405" t="s">
        <v>914</v>
      </c>
      <c r="I193" s="405" t="s">
        <v>460</v>
      </c>
      <c r="J193" s="78">
        <v>41747</v>
      </c>
      <c r="K193" s="149">
        <v>117</v>
      </c>
      <c r="M193" s="405" t="s">
        <v>292</v>
      </c>
      <c r="N193" s="405" t="s">
        <v>293</v>
      </c>
      <c r="O193" s="405" t="s">
        <v>288</v>
      </c>
      <c r="P193" s="149"/>
      <c r="Q193" s="149"/>
      <c r="U193" s="405" t="s">
        <v>850</v>
      </c>
    </row>
    <row r="194" spans="1:21" x14ac:dyDescent="0.25">
      <c r="A194" s="405" t="s">
        <v>230</v>
      </c>
      <c r="B194" s="405" t="s">
        <v>1244</v>
      </c>
      <c r="G194" s="405" t="s">
        <v>1244</v>
      </c>
      <c r="H194" s="405" t="s">
        <v>1209</v>
      </c>
      <c r="I194" s="405" t="s">
        <v>777</v>
      </c>
      <c r="J194" s="405" t="s">
        <v>1251</v>
      </c>
      <c r="K194" s="149"/>
      <c r="M194" s="405" t="s">
        <v>294</v>
      </c>
      <c r="N194" s="405" t="s">
        <v>372</v>
      </c>
      <c r="O194" s="405" t="s">
        <v>288</v>
      </c>
      <c r="P194" s="149">
        <v>44</v>
      </c>
      <c r="Q194" s="149">
        <v>218</v>
      </c>
      <c r="U194" s="405" t="s">
        <v>878</v>
      </c>
    </row>
    <row r="195" spans="1:21" x14ac:dyDescent="0.25">
      <c r="A195" s="405" t="s">
        <v>230</v>
      </c>
      <c r="B195" s="405" t="s">
        <v>1222</v>
      </c>
      <c r="G195" s="405" t="s">
        <v>1735</v>
      </c>
      <c r="H195" s="405" t="s">
        <v>1481</v>
      </c>
      <c r="I195" s="405" t="s">
        <v>777</v>
      </c>
      <c r="J195" s="78">
        <v>42962</v>
      </c>
      <c r="K195" s="149">
        <v>245</v>
      </c>
      <c r="M195" s="405" t="s">
        <v>290</v>
      </c>
      <c r="N195" s="405" t="s">
        <v>291</v>
      </c>
      <c r="O195" s="405" t="s">
        <v>288</v>
      </c>
      <c r="P195" s="149">
        <v>75</v>
      </c>
      <c r="Q195" s="149">
        <v>394</v>
      </c>
      <c r="U195" s="405" t="s">
        <v>880</v>
      </c>
    </row>
    <row r="196" spans="1:21" x14ac:dyDescent="0.25">
      <c r="A196" s="405" t="s">
        <v>230</v>
      </c>
      <c r="B196" s="405" t="s">
        <v>1223</v>
      </c>
      <c r="G196" s="405" t="s">
        <v>1219</v>
      </c>
      <c r="H196" s="405" t="s">
        <v>1201</v>
      </c>
      <c r="I196" s="405" t="s">
        <v>777</v>
      </c>
      <c r="J196" s="405" t="s">
        <v>1251</v>
      </c>
      <c r="K196" s="149"/>
      <c r="M196" s="405" t="s">
        <v>234</v>
      </c>
      <c r="N196" s="405" t="s">
        <v>235</v>
      </c>
      <c r="O196" s="405" t="s">
        <v>230</v>
      </c>
      <c r="P196" s="149"/>
      <c r="Q196" s="149"/>
      <c r="U196" s="405" t="s">
        <v>893</v>
      </c>
    </row>
    <row r="197" spans="1:21" x14ac:dyDescent="0.25">
      <c r="A197" s="405" t="s">
        <v>230</v>
      </c>
      <c r="B197" s="405" t="s">
        <v>1224</v>
      </c>
      <c r="G197" s="405" t="s">
        <v>1220</v>
      </c>
      <c r="H197" s="405" t="s">
        <v>1202</v>
      </c>
      <c r="I197" s="405" t="s">
        <v>777</v>
      </c>
      <c r="J197" s="405" t="s">
        <v>1251</v>
      </c>
      <c r="K197" s="149"/>
      <c r="M197" s="405" t="s">
        <v>147</v>
      </c>
      <c r="N197" s="405" t="s">
        <v>369</v>
      </c>
      <c r="O197" s="405" t="s">
        <v>146</v>
      </c>
      <c r="P197" s="149">
        <v>46</v>
      </c>
      <c r="Q197" s="149">
        <v>254</v>
      </c>
      <c r="U197" s="405" t="s">
        <v>897</v>
      </c>
    </row>
    <row r="198" spans="1:21" x14ac:dyDescent="0.25">
      <c r="A198" s="405" t="s">
        <v>230</v>
      </c>
      <c r="B198" s="405" t="s">
        <v>1225</v>
      </c>
      <c r="G198" s="405" t="s">
        <v>1218</v>
      </c>
      <c r="H198" s="405" t="s">
        <v>1200</v>
      </c>
      <c r="I198" s="405" t="s">
        <v>777</v>
      </c>
      <c r="J198" s="405" t="s">
        <v>1251</v>
      </c>
      <c r="K198" s="149">
        <v>13</v>
      </c>
      <c r="M198" s="405" t="s">
        <v>148</v>
      </c>
      <c r="N198" s="405" t="s">
        <v>149</v>
      </c>
      <c r="O198" s="405" t="s">
        <v>146</v>
      </c>
      <c r="P198" s="149">
        <v>57</v>
      </c>
      <c r="Q198" s="149">
        <v>262</v>
      </c>
      <c r="U198" s="405" t="s">
        <v>916</v>
      </c>
    </row>
    <row r="199" spans="1:21" x14ac:dyDescent="0.25">
      <c r="A199" s="405" t="s">
        <v>230</v>
      </c>
      <c r="B199" s="405" t="s">
        <v>1226</v>
      </c>
      <c r="G199" s="405" t="s">
        <v>270</v>
      </c>
      <c r="H199" s="405" t="s">
        <v>269</v>
      </c>
      <c r="I199" s="405" t="s">
        <v>460</v>
      </c>
      <c r="J199" s="78">
        <v>40909</v>
      </c>
      <c r="K199" s="149">
        <v>63</v>
      </c>
      <c r="M199" s="405" t="s">
        <v>165</v>
      </c>
      <c r="N199" s="405" t="s">
        <v>167</v>
      </c>
      <c r="O199" s="405" t="s">
        <v>166</v>
      </c>
      <c r="P199" s="149">
        <v>33</v>
      </c>
      <c r="Q199" s="149">
        <v>178</v>
      </c>
      <c r="U199" s="405" t="s">
        <v>920</v>
      </c>
    </row>
    <row r="200" spans="1:21" x14ac:dyDescent="0.25">
      <c r="A200" s="405" t="s">
        <v>230</v>
      </c>
      <c r="B200" s="405" t="s">
        <v>717</v>
      </c>
      <c r="G200" s="405" t="s">
        <v>20</v>
      </c>
      <c r="H200" s="405" t="s">
        <v>19</v>
      </c>
      <c r="I200" s="405" t="s">
        <v>460</v>
      </c>
      <c r="J200" s="78">
        <v>40848</v>
      </c>
      <c r="K200" s="149">
        <v>21</v>
      </c>
      <c r="M200" s="405" t="s">
        <v>168</v>
      </c>
      <c r="N200" s="405" t="s">
        <v>169</v>
      </c>
      <c r="O200" s="405" t="s">
        <v>230</v>
      </c>
      <c r="P200" s="149"/>
      <c r="Q200" s="149"/>
      <c r="U200" s="405" t="s">
        <v>287</v>
      </c>
    </row>
    <row r="201" spans="1:21" x14ac:dyDescent="0.25">
      <c r="A201" s="405" t="s">
        <v>237</v>
      </c>
      <c r="B201" s="405" t="s">
        <v>252</v>
      </c>
      <c r="G201" s="405" t="s">
        <v>108</v>
      </c>
      <c r="H201" s="405" t="s">
        <v>107</v>
      </c>
      <c r="I201" s="405" t="s">
        <v>460</v>
      </c>
      <c r="J201" s="78">
        <v>41487</v>
      </c>
      <c r="K201" s="149">
        <v>53</v>
      </c>
      <c r="M201" s="405" t="s">
        <v>170</v>
      </c>
      <c r="N201" s="405" t="s">
        <v>171</v>
      </c>
      <c r="O201" s="405" t="s">
        <v>230</v>
      </c>
      <c r="P201" s="149"/>
      <c r="Q201" s="149"/>
      <c r="U201" s="405" t="s">
        <v>292</v>
      </c>
    </row>
    <row r="202" spans="1:21" x14ac:dyDescent="0.25">
      <c r="A202" s="405" t="s">
        <v>237</v>
      </c>
      <c r="B202" s="405" t="s">
        <v>254</v>
      </c>
      <c r="G202" s="405" t="s">
        <v>183</v>
      </c>
      <c r="H202" s="405" t="s">
        <v>182</v>
      </c>
      <c r="I202" s="405" t="s">
        <v>777</v>
      </c>
      <c r="J202" s="78">
        <v>40969</v>
      </c>
      <c r="K202" s="149">
        <v>0</v>
      </c>
      <c r="M202" s="405" t="s">
        <v>232</v>
      </c>
      <c r="N202" s="405" t="s">
        <v>233</v>
      </c>
      <c r="O202" s="405" t="s">
        <v>230</v>
      </c>
      <c r="P202" s="149"/>
      <c r="Q202" s="149"/>
      <c r="U202" s="405" t="s">
        <v>294</v>
      </c>
    </row>
    <row r="203" spans="1:21" x14ac:dyDescent="0.25">
      <c r="A203" s="405" t="s">
        <v>237</v>
      </c>
      <c r="B203" s="405" t="s">
        <v>256</v>
      </c>
      <c r="G203" s="405" t="s">
        <v>536</v>
      </c>
      <c r="H203" s="405" t="s">
        <v>774</v>
      </c>
      <c r="I203" s="405" t="s">
        <v>460</v>
      </c>
      <c r="J203" s="78">
        <v>41365</v>
      </c>
      <c r="K203" s="149">
        <v>67</v>
      </c>
      <c r="M203" s="405" t="s">
        <v>296</v>
      </c>
      <c r="N203" s="405" t="s">
        <v>761</v>
      </c>
      <c r="O203" s="405" t="s">
        <v>297</v>
      </c>
      <c r="P203" s="149">
        <v>45</v>
      </c>
      <c r="Q203" s="149">
        <v>195</v>
      </c>
      <c r="U203" s="405" t="s">
        <v>290</v>
      </c>
    </row>
    <row r="204" spans="1:21" x14ac:dyDescent="0.25">
      <c r="A204" s="405" t="s">
        <v>237</v>
      </c>
      <c r="B204" s="405" t="s">
        <v>240</v>
      </c>
      <c r="G204" s="405" t="s">
        <v>178</v>
      </c>
      <c r="H204" s="405" t="s">
        <v>177</v>
      </c>
      <c r="I204" s="405" t="s">
        <v>460</v>
      </c>
      <c r="J204" s="78">
        <v>40969</v>
      </c>
      <c r="K204" s="149">
        <v>11</v>
      </c>
      <c r="M204" s="405" t="s">
        <v>380</v>
      </c>
      <c r="N204" s="405" t="s">
        <v>370</v>
      </c>
      <c r="O204" s="405" t="s">
        <v>146</v>
      </c>
      <c r="P204" s="149"/>
      <c r="Q204" s="149"/>
      <c r="U204" s="405" t="s">
        <v>234</v>
      </c>
    </row>
    <row r="205" spans="1:21" x14ac:dyDescent="0.25">
      <c r="A205" s="405" t="s">
        <v>237</v>
      </c>
      <c r="B205" s="405" t="s">
        <v>284</v>
      </c>
      <c r="G205" s="405" t="s">
        <v>817</v>
      </c>
      <c r="H205" s="405" t="s">
        <v>818</v>
      </c>
      <c r="I205" s="405" t="s">
        <v>777</v>
      </c>
      <c r="J205" s="78">
        <v>41487</v>
      </c>
      <c r="K205" s="149">
        <v>0</v>
      </c>
      <c r="M205" s="405" t="s">
        <v>381</v>
      </c>
      <c r="N205" s="405" t="s">
        <v>367</v>
      </c>
      <c r="O205" s="405" t="s">
        <v>146</v>
      </c>
      <c r="P205" s="149">
        <v>58</v>
      </c>
      <c r="Q205" s="149">
        <v>277</v>
      </c>
      <c r="U205" s="405" t="s">
        <v>147</v>
      </c>
    </row>
    <row r="206" spans="1:21" x14ac:dyDescent="0.25">
      <c r="A206" s="405" t="s">
        <v>237</v>
      </c>
      <c r="B206" s="405" t="s">
        <v>258</v>
      </c>
      <c r="G206" s="405" t="s">
        <v>342</v>
      </c>
      <c r="H206" s="405" t="s">
        <v>341</v>
      </c>
      <c r="I206" s="405" t="s">
        <v>460</v>
      </c>
      <c r="J206" s="78">
        <v>41030</v>
      </c>
      <c r="K206" s="149">
        <v>20</v>
      </c>
      <c r="M206" s="405" t="s">
        <v>382</v>
      </c>
      <c r="N206" s="405" t="s">
        <v>368</v>
      </c>
      <c r="O206" s="405" t="s">
        <v>146</v>
      </c>
      <c r="P206" s="149">
        <v>29</v>
      </c>
      <c r="Q206" s="149">
        <v>138</v>
      </c>
      <c r="U206" s="405" t="s">
        <v>148</v>
      </c>
    </row>
    <row r="207" spans="1:21" x14ac:dyDescent="0.25">
      <c r="A207" s="405" t="s">
        <v>237</v>
      </c>
      <c r="B207" s="405" t="s">
        <v>260</v>
      </c>
      <c r="G207" s="405" t="s">
        <v>286</v>
      </c>
      <c r="H207" s="405" t="s">
        <v>285</v>
      </c>
      <c r="I207" s="405" t="s">
        <v>460</v>
      </c>
      <c r="J207" s="78">
        <v>40940</v>
      </c>
      <c r="K207" s="149">
        <v>24</v>
      </c>
      <c r="M207" s="405" t="s">
        <v>383</v>
      </c>
      <c r="N207" s="405" t="s">
        <v>366</v>
      </c>
      <c r="O207" s="405" t="s">
        <v>146</v>
      </c>
      <c r="P207" s="149">
        <v>68</v>
      </c>
      <c r="Q207" s="149">
        <v>310</v>
      </c>
      <c r="U207" s="405" t="s">
        <v>165</v>
      </c>
    </row>
    <row r="208" spans="1:21" x14ac:dyDescent="0.25">
      <c r="A208" s="405" t="s">
        <v>237</v>
      </c>
      <c r="B208" s="405" t="s">
        <v>262</v>
      </c>
      <c r="G208" s="405" t="s">
        <v>1052</v>
      </c>
      <c r="H208" s="405" t="s">
        <v>358</v>
      </c>
      <c r="I208" s="405" t="s">
        <v>777</v>
      </c>
      <c r="J208" s="405" t="s">
        <v>1251</v>
      </c>
      <c r="K208" s="149"/>
      <c r="M208" s="405" t="s">
        <v>384</v>
      </c>
      <c r="N208" s="405" t="s">
        <v>365</v>
      </c>
      <c r="O208" s="405" t="s">
        <v>146</v>
      </c>
      <c r="P208" s="149">
        <v>0</v>
      </c>
      <c r="Q208" s="149">
        <v>0</v>
      </c>
      <c r="U208" s="405" t="s">
        <v>168</v>
      </c>
    </row>
    <row r="209" spans="1:21" x14ac:dyDescent="0.25">
      <c r="A209" s="405" t="s">
        <v>237</v>
      </c>
      <c r="B209" s="405" t="s">
        <v>264</v>
      </c>
      <c r="G209" s="405" t="s">
        <v>1084</v>
      </c>
      <c r="H209" s="405" t="s">
        <v>1085</v>
      </c>
      <c r="I209" s="405" t="s">
        <v>460</v>
      </c>
      <c r="J209" s="78">
        <v>42036</v>
      </c>
      <c r="K209" s="149">
        <v>70</v>
      </c>
      <c r="M209" s="405" t="s">
        <v>385</v>
      </c>
      <c r="N209" s="405" t="s">
        <v>371</v>
      </c>
      <c r="O209" s="405" t="s">
        <v>146</v>
      </c>
      <c r="P209" s="149">
        <v>187</v>
      </c>
      <c r="Q209" s="149">
        <v>971</v>
      </c>
      <c r="U209" s="405" t="s">
        <v>170</v>
      </c>
    </row>
    <row r="210" spans="1:21" x14ac:dyDescent="0.25">
      <c r="A210" s="405" t="s">
        <v>237</v>
      </c>
      <c r="B210" s="405" t="s">
        <v>266</v>
      </c>
      <c r="G210" s="405" t="s">
        <v>1100</v>
      </c>
      <c r="H210" s="405" t="s">
        <v>1101</v>
      </c>
      <c r="I210" s="405" t="s">
        <v>460</v>
      </c>
      <c r="J210" s="78">
        <v>42036</v>
      </c>
      <c r="K210" s="149">
        <v>105</v>
      </c>
      <c r="M210" s="405" t="s">
        <v>386</v>
      </c>
      <c r="N210" s="405" t="s">
        <v>231</v>
      </c>
      <c r="O210" s="405" t="s">
        <v>230</v>
      </c>
      <c r="P210" s="149">
        <v>32</v>
      </c>
      <c r="Q210" s="149">
        <v>187</v>
      </c>
      <c r="U210" s="405" t="s">
        <v>232</v>
      </c>
    </row>
    <row r="211" spans="1:21" x14ac:dyDescent="0.25">
      <c r="A211" s="405" t="s">
        <v>237</v>
      </c>
      <c r="B211" s="405" t="s">
        <v>270</v>
      </c>
      <c r="G211" s="405" t="s">
        <v>110</v>
      </c>
      <c r="H211" s="405" t="s">
        <v>109</v>
      </c>
      <c r="I211" s="405" t="s">
        <v>777</v>
      </c>
      <c r="J211" s="78">
        <v>41122</v>
      </c>
      <c r="K211" s="149">
        <v>0</v>
      </c>
      <c r="M211" s="405" t="s">
        <v>387</v>
      </c>
      <c r="N211" s="405" t="s">
        <v>373</v>
      </c>
      <c r="O211" s="405" t="s">
        <v>288</v>
      </c>
      <c r="P211" s="149">
        <v>0</v>
      </c>
      <c r="Q211" s="149">
        <v>0</v>
      </c>
      <c r="U211" s="405" t="s">
        <v>296</v>
      </c>
    </row>
    <row r="212" spans="1:21" x14ac:dyDescent="0.25">
      <c r="A212" s="405" t="s">
        <v>237</v>
      </c>
      <c r="B212" s="405" t="s">
        <v>268</v>
      </c>
      <c r="G212" s="405" t="s">
        <v>112</v>
      </c>
      <c r="H212" s="405" t="s">
        <v>111</v>
      </c>
      <c r="I212" s="405" t="s">
        <v>777</v>
      </c>
      <c r="J212" s="405" t="s">
        <v>1251</v>
      </c>
      <c r="K212" s="149">
        <v>0</v>
      </c>
      <c r="M212" s="405" t="s">
        <v>773</v>
      </c>
      <c r="N212" s="405" t="s">
        <v>359</v>
      </c>
      <c r="O212" s="405" t="s">
        <v>230</v>
      </c>
      <c r="P212" s="149">
        <v>9</v>
      </c>
      <c r="Q212" s="149">
        <v>44</v>
      </c>
      <c r="U212" s="405" t="s">
        <v>380</v>
      </c>
    </row>
    <row r="213" spans="1:21" x14ac:dyDescent="0.25">
      <c r="A213" s="405" t="s">
        <v>237</v>
      </c>
      <c r="B213" s="405" t="s">
        <v>272</v>
      </c>
      <c r="G213" s="405" t="s">
        <v>215</v>
      </c>
      <c r="H213" s="405" t="s">
        <v>214</v>
      </c>
      <c r="I213" s="405" t="s">
        <v>460</v>
      </c>
      <c r="J213" s="78">
        <v>41000</v>
      </c>
      <c r="K213" s="149">
        <v>356</v>
      </c>
      <c r="M213" s="405" t="s">
        <v>774</v>
      </c>
      <c r="N213" s="405" t="s">
        <v>536</v>
      </c>
      <c r="O213" s="405" t="s">
        <v>720</v>
      </c>
      <c r="P213" s="149">
        <v>67</v>
      </c>
      <c r="Q213" s="149">
        <v>392</v>
      </c>
      <c r="U213" s="405" t="s">
        <v>381</v>
      </c>
    </row>
    <row r="214" spans="1:21" x14ac:dyDescent="0.25">
      <c r="A214" s="405" t="s">
        <v>237</v>
      </c>
      <c r="B214" s="405" t="s">
        <v>276</v>
      </c>
      <c r="G214" s="405" t="s">
        <v>217</v>
      </c>
      <c r="H214" s="405" t="s">
        <v>216</v>
      </c>
      <c r="I214" s="405" t="s">
        <v>777</v>
      </c>
      <c r="J214" s="78">
        <v>40817</v>
      </c>
      <c r="K214" s="149"/>
      <c r="M214" s="405" t="s">
        <v>763</v>
      </c>
      <c r="N214" s="405" t="s">
        <v>762</v>
      </c>
      <c r="O214" s="405" t="s">
        <v>166</v>
      </c>
      <c r="P214" s="149">
        <v>29</v>
      </c>
      <c r="Q214" s="149">
        <v>168</v>
      </c>
      <c r="U214" s="405" t="s">
        <v>382</v>
      </c>
    </row>
    <row r="215" spans="1:21" x14ac:dyDescent="0.25">
      <c r="A215" s="405" t="s">
        <v>237</v>
      </c>
      <c r="B215" s="405" t="s">
        <v>278</v>
      </c>
      <c r="G215" s="405" t="s">
        <v>268</v>
      </c>
      <c r="H215" s="405" t="s">
        <v>267</v>
      </c>
      <c r="I215" s="405" t="s">
        <v>460</v>
      </c>
      <c r="J215" s="78">
        <v>40695</v>
      </c>
      <c r="K215" s="149">
        <v>67</v>
      </c>
      <c r="M215" s="405" t="s">
        <v>764</v>
      </c>
      <c r="N215" s="405" t="s">
        <v>535</v>
      </c>
      <c r="O215" s="405" t="s">
        <v>297</v>
      </c>
      <c r="P215" s="149">
        <v>118</v>
      </c>
      <c r="Q215" s="149">
        <v>520</v>
      </c>
      <c r="U215" s="405" t="s">
        <v>383</v>
      </c>
    </row>
    <row r="216" spans="1:21" x14ac:dyDescent="0.25">
      <c r="A216" s="405" t="s">
        <v>237</v>
      </c>
      <c r="B216" s="405" t="s">
        <v>280</v>
      </c>
      <c r="G216" s="405" t="s">
        <v>229</v>
      </c>
      <c r="H216" s="405" t="s">
        <v>228</v>
      </c>
      <c r="I216" s="405" t="s">
        <v>460</v>
      </c>
      <c r="J216" s="78">
        <v>41122</v>
      </c>
      <c r="K216" s="149">
        <v>49</v>
      </c>
      <c r="M216" s="405" t="s">
        <v>840</v>
      </c>
      <c r="N216" s="405" t="s">
        <v>839</v>
      </c>
      <c r="O216" s="405" t="s">
        <v>146</v>
      </c>
      <c r="P216" s="149">
        <v>0</v>
      </c>
      <c r="Q216" s="149">
        <v>0</v>
      </c>
      <c r="U216" s="405" t="s">
        <v>384</v>
      </c>
    </row>
    <row r="217" spans="1:21" x14ac:dyDescent="0.25">
      <c r="A217" s="405" t="s">
        <v>237</v>
      </c>
      <c r="B217" s="405" t="s">
        <v>238</v>
      </c>
      <c r="G217" s="405" t="s">
        <v>272</v>
      </c>
      <c r="H217" s="405" t="s">
        <v>271</v>
      </c>
      <c r="I217" s="405" t="s">
        <v>460</v>
      </c>
      <c r="J217" s="78">
        <v>41244</v>
      </c>
      <c r="K217" s="149">
        <v>46</v>
      </c>
      <c r="M217" s="405" t="s">
        <v>842</v>
      </c>
      <c r="N217" s="405" t="s">
        <v>841</v>
      </c>
      <c r="O217" s="405" t="s">
        <v>146</v>
      </c>
      <c r="P217" s="149">
        <v>0</v>
      </c>
      <c r="Q217" s="149">
        <v>0</v>
      </c>
      <c r="U217" s="405" t="s">
        <v>385</v>
      </c>
    </row>
    <row r="218" spans="1:21" x14ac:dyDescent="0.25">
      <c r="A218" s="405" t="s">
        <v>237</v>
      </c>
      <c r="B218" s="405" t="s">
        <v>248</v>
      </c>
      <c r="G218" s="405" t="s">
        <v>219</v>
      </c>
      <c r="H218" s="405" t="s">
        <v>218</v>
      </c>
      <c r="I218" s="405" t="s">
        <v>460</v>
      </c>
      <c r="J218" s="78">
        <v>41000</v>
      </c>
      <c r="K218" s="149">
        <v>651</v>
      </c>
      <c r="M218" s="405" t="s">
        <v>850</v>
      </c>
      <c r="N218" s="405" t="s">
        <v>851</v>
      </c>
      <c r="O218" s="405" t="s">
        <v>151</v>
      </c>
      <c r="P218" s="149">
        <v>173</v>
      </c>
      <c r="Q218" s="149">
        <v>780</v>
      </c>
      <c r="U218" s="405" t="s">
        <v>386</v>
      </c>
    </row>
    <row r="219" spans="1:21" x14ac:dyDescent="0.25">
      <c r="A219" s="405" t="s">
        <v>237</v>
      </c>
      <c r="B219" s="405" t="s">
        <v>250</v>
      </c>
      <c r="G219" s="405" t="s">
        <v>1048</v>
      </c>
      <c r="H219" s="405" t="s">
        <v>343</v>
      </c>
      <c r="I219" s="405" t="s">
        <v>460</v>
      </c>
      <c r="J219" s="78">
        <v>40725</v>
      </c>
      <c r="K219" s="149">
        <v>186</v>
      </c>
      <c r="M219" s="405" t="s">
        <v>878</v>
      </c>
      <c r="N219" s="405" t="s">
        <v>881</v>
      </c>
      <c r="O219" s="405" t="s">
        <v>5</v>
      </c>
      <c r="P219" s="149"/>
      <c r="Q219" s="149"/>
      <c r="U219" s="405" t="s">
        <v>387</v>
      </c>
    </row>
    <row r="220" spans="1:21" x14ac:dyDescent="0.25">
      <c r="A220" s="405" t="s">
        <v>237</v>
      </c>
      <c r="B220" s="405" t="s">
        <v>274</v>
      </c>
      <c r="G220" s="405" t="s">
        <v>1755</v>
      </c>
      <c r="H220" s="405" t="s">
        <v>789</v>
      </c>
      <c r="I220" s="405" t="s">
        <v>460</v>
      </c>
      <c r="J220" s="78">
        <v>42370</v>
      </c>
      <c r="K220" s="149">
        <v>37</v>
      </c>
      <c r="M220" s="405" t="s">
        <v>880</v>
      </c>
      <c r="N220" s="405" t="s">
        <v>879</v>
      </c>
      <c r="O220" s="405" t="s">
        <v>27</v>
      </c>
      <c r="P220" s="149">
        <v>30</v>
      </c>
      <c r="Q220" s="149">
        <v>173</v>
      </c>
      <c r="U220" s="405" t="s">
        <v>773</v>
      </c>
    </row>
    <row r="221" spans="1:21" x14ac:dyDescent="0.25">
      <c r="A221" s="405" t="s">
        <v>237</v>
      </c>
      <c r="B221" s="405" t="s">
        <v>282</v>
      </c>
      <c r="G221" s="405" t="s">
        <v>1166</v>
      </c>
      <c r="H221" s="405" t="s">
        <v>1150</v>
      </c>
      <c r="I221" s="405" t="s">
        <v>460</v>
      </c>
      <c r="J221" s="78">
        <v>42370</v>
      </c>
      <c r="K221" s="149">
        <v>19</v>
      </c>
      <c r="M221" s="405" t="s">
        <v>893</v>
      </c>
      <c r="N221" s="405" t="s">
        <v>892</v>
      </c>
      <c r="O221" s="405" t="s">
        <v>151</v>
      </c>
      <c r="P221" s="149"/>
      <c r="Q221" s="149"/>
      <c r="U221" s="405" t="s">
        <v>774</v>
      </c>
    </row>
    <row r="222" spans="1:21" x14ac:dyDescent="0.25">
      <c r="A222" s="405" t="s">
        <v>237</v>
      </c>
      <c r="B222" s="405" t="s">
        <v>1049</v>
      </c>
      <c r="G222" s="405" t="s">
        <v>792</v>
      </c>
      <c r="H222" s="405" t="s">
        <v>791</v>
      </c>
      <c r="I222" s="405" t="s">
        <v>460</v>
      </c>
      <c r="J222" s="78">
        <v>41091</v>
      </c>
      <c r="K222" s="149">
        <v>57</v>
      </c>
      <c r="M222" s="405" t="s">
        <v>897</v>
      </c>
      <c r="N222" s="405" t="s">
        <v>896</v>
      </c>
      <c r="O222" s="405" t="s">
        <v>299</v>
      </c>
      <c r="P222" s="149">
        <v>10</v>
      </c>
      <c r="Q222" s="149">
        <v>56</v>
      </c>
      <c r="U222" s="405" t="s">
        <v>763</v>
      </c>
    </row>
    <row r="223" spans="1:21" x14ac:dyDescent="0.25">
      <c r="A223" s="405" t="s">
        <v>237</v>
      </c>
      <c r="B223" s="405" t="s">
        <v>1719</v>
      </c>
      <c r="G223" s="405" t="s">
        <v>114</v>
      </c>
      <c r="H223" s="405" t="s">
        <v>113</v>
      </c>
      <c r="I223" s="405" t="s">
        <v>777</v>
      </c>
      <c r="J223" s="405" t="s">
        <v>1251</v>
      </c>
      <c r="K223" s="149">
        <v>0</v>
      </c>
      <c r="M223" s="405" t="s">
        <v>908</v>
      </c>
      <c r="N223" s="405" t="s">
        <v>907</v>
      </c>
      <c r="O223" s="405" t="s">
        <v>230</v>
      </c>
      <c r="P223" s="149">
        <v>44</v>
      </c>
      <c r="Q223" s="149">
        <v>190</v>
      </c>
      <c r="U223" s="405" t="s">
        <v>764</v>
      </c>
    </row>
    <row r="224" spans="1:21" x14ac:dyDescent="0.25">
      <c r="A224" s="405" t="s">
        <v>237</v>
      </c>
      <c r="B224" s="405" t="s">
        <v>1727</v>
      </c>
      <c r="G224" s="405" t="s">
        <v>364</v>
      </c>
      <c r="H224" s="405" t="s">
        <v>374</v>
      </c>
      <c r="I224" s="405" t="s">
        <v>460</v>
      </c>
      <c r="J224" s="78">
        <v>41275</v>
      </c>
      <c r="K224" s="149">
        <v>144</v>
      </c>
      <c r="M224" s="405" t="s">
        <v>910</v>
      </c>
      <c r="N224" s="405" t="s">
        <v>909</v>
      </c>
      <c r="O224" s="405" t="s">
        <v>288</v>
      </c>
      <c r="P224" s="149">
        <v>35</v>
      </c>
      <c r="Q224" s="149">
        <v>177</v>
      </c>
      <c r="U224" s="405" t="s">
        <v>840</v>
      </c>
    </row>
    <row r="225" spans="1:21" x14ac:dyDescent="0.25">
      <c r="A225" s="405" t="s">
        <v>237</v>
      </c>
      <c r="B225" s="405" t="s">
        <v>1746</v>
      </c>
      <c r="G225" s="405" t="s">
        <v>221</v>
      </c>
      <c r="H225" s="405" t="s">
        <v>220</v>
      </c>
      <c r="I225" s="405" t="s">
        <v>777</v>
      </c>
      <c r="J225" s="405" t="s">
        <v>1251</v>
      </c>
      <c r="K225" s="149"/>
      <c r="M225" s="405" t="s">
        <v>914</v>
      </c>
      <c r="N225" s="405" t="s">
        <v>921</v>
      </c>
      <c r="O225" s="405" t="s">
        <v>288</v>
      </c>
      <c r="P225" s="149">
        <v>117</v>
      </c>
      <c r="Q225" s="149">
        <v>545</v>
      </c>
      <c r="U225" s="405" t="s">
        <v>842</v>
      </c>
    </row>
    <row r="226" spans="1:21" x14ac:dyDescent="0.25">
      <c r="A226" s="405" t="s">
        <v>288</v>
      </c>
      <c r="B226" s="405" t="s">
        <v>291</v>
      </c>
      <c r="G226" s="405" t="s">
        <v>353</v>
      </c>
      <c r="H226" s="405" t="s">
        <v>352</v>
      </c>
      <c r="I226" s="405" t="s">
        <v>460</v>
      </c>
      <c r="J226" s="78">
        <v>40848</v>
      </c>
      <c r="K226" s="149">
        <v>88</v>
      </c>
      <c r="M226" s="405" t="s">
        <v>916</v>
      </c>
      <c r="N226" s="405" t="s">
        <v>915</v>
      </c>
      <c r="O226" s="405" t="s">
        <v>151</v>
      </c>
      <c r="P226" s="149">
        <v>143</v>
      </c>
      <c r="Q226" s="149">
        <v>638</v>
      </c>
      <c r="U226" s="405" t="s">
        <v>908</v>
      </c>
    </row>
    <row r="227" spans="1:21" x14ac:dyDescent="0.25">
      <c r="A227" s="405" t="s">
        <v>288</v>
      </c>
      <c r="B227" s="405" t="s">
        <v>289</v>
      </c>
      <c r="G227" s="405" t="s">
        <v>317</v>
      </c>
      <c r="H227" s="405" t="s">
        <v>316</v>
      </c>
      <c r="I227" s="405" t="s">
        <v>460</v>
      </c>
      <c r="J227" s="78">
        <v>40725</v>
      </c>
      <c r="K227" s="149">
        <v>115</v>
      </c>
      <c r="M227" s="405" t="s">
        <v>918</v>
      </c>
      <c r="N227" s="405" t="s">
        <v>917</v>
      </c>
      <c r="O227" s="405" t="s">
        <v>230</v>
      </c>
      <c r="P227" s="149">
        <v>22</v>
      </c>
      <c r="Q227" s="149">
        <v>106</v>
      </c>
      <c r="U227" s="405" t="s">
        <v>910</v>
      </c>
    </row>
    <row r="228" spans="1:21" x14ac:dyDescent="0.25">
      <c r="A228" s="405" t="s">
        <v>288</v>
      </c>
      <c r="B228" s="405" t="s">
        <v>372</v>
      </c>
      <c r="G228" s="405" t="s">
        <v>340</v>
      </c>
      <c r="H228" s="405" t="s">
        <v>339</v>
      </c>
      <c r="I228" s="405" t="s">
        <v>460</v>
      </c>
      <c r="J228" s="78">
        <v>40695</v>
      </c>
      <c r="K228" s="149">
        <v>64</v>
      </c>
      <c r="M228" s="405" t="s">
        <v>920</v>
      </c>
      <c r="N228" s="405" t="s">
        <v>919</v>
      </c>
      <c r="O228" s="405" t="s">
        <v>481</v>
      </c>
      <c r="P228" s="149">
        <v>103</v>
      </c>
      <c r="Q228" s="149">
        <v>498</v>
      </c>
      <c r="U228" s="405" t="s">
        <v>914</v>
      </c>
    </row>
    <row r="229" spans="1:21" x14ac:dyDescent="0.25">
      <c r="A229" s="405" t="s">
        <v>288</v>
      </c>
      <c r="B229" s="405" t="s">
        <v>373</v>
      </c>
      <c r="G229" s="405" t="s">
        <v>337</v>
      </c>
      <c r="H229" s="405" t="s">
        <v>336</v>
      </c>
      <c r="I229" s="405" t="s">
        <v>460</v>
      </c>
      <c r="J229" s="78">
        <v>40695</v>
      </c>
      <c r="K229" s="149">
        <v>29</v>
      </c>
      <c r="M229" s="405" t="s">
        <v>947</v>
      </c>
      <c r="N229" s="405" t="s">
        <v>946</v>
      </c>
      <c r="O229" s="405" t="s">
        <v>151</v>
      </c>
      <c r="P229" s="149">
        <v>115</v>
      </c>
      <c r="Q229" s="149">
        <v>538</v>
      </c>
      <c r="U229" s="405" t="s">
        <v>918</v>
      </c>
    </row>
    <row r="230" spans="1:21" x14ac:dyDescent="0.25">
      <c r="A230" s="405" t="s">
        <v>288</v>
      </c>
      <c r="B230" s="405" t="s">
        <v>293</v>
      </c>
      <c r="G230" s="405" t="s">
        <v>349</v>
      </c>
      <c r="H230" s="405" t="s">
        <v>348</v>
      </c>
      <c r="I230" s="405" t="s">
        <v>460</v>
      </c>
      <c r="J230" s="78">
        <v>40940</v>
      </c>
      <c r="K230" s="149">
        <v>90</v>
      </c>
      <c r="M230" s="405" t="s">
        <v>950</v>
      </c>
      <c r="N230" s="405" t="s">
        <v>951</v>
      </c>
      <c r="O230" s="405" t="s">
        <v>146</v>
      </c>
      <c r="P230" s="149">
        <v>22</v>
      </c>
      <c r="Q230" s="149">
        <v>105</v>
      </c>
      <c r="U230" s="405" t="s">
        <v>947</v>
      </c>
    </row>
    <row r="231" spans="1:21" x14ac:dyDescent="0.25">
      <c r="A231" s="405" t="s">
        <v>288</v>
      </c>
      <c r="B231" s="405" t="s">
        <v>909</v>
      </c>
      <c r="G231" s="405" t="s">
        <v>118</v>
      </c>
      <c r="H231" s="405" t="s">
        <v>117</v>
      </c>
      <c r="I231" s="405" t="s">
        <v>460</v>
      </c>
      <c r="J231" s="78">
        <v>41275</v>
      </c>
      <c r="K231" s="149">
        <v>11</v>
      </c>
      <c r="M231" s="405" t="s">
        <v>965</v>
      </c>
      <c r="N231" s="405" t="s">
        <v>964</v>
      </c>
      <c r="O231" s="405" t="s">
        <v>481</v>
      </c>
      <c r="P231" s="149"/>
      <c r="Q231" s="149"/>
      <c r="U231" s="405" t="s">
        <v>950</v>
      </c>
    </row>
    <row r="232" spans="1:21" x14ac:dyDescent="0.25">
      <c r="A232" s="405" t="s">
        <v>288</v>
      </c>
      <c r="B232" s="405" t="s">
        <v>921</v>
      </c>
      <c r="G232" s="405" t="s">
        <v>22</v>
      </c>
      <c r="H232" s="405" t="s">
        <v>21</v>
      </c>
      <c r="I232" s="405" t="s">
        <v>460</v>
      </c>
      <c r="J232" s="78">
        <v>40725</v>
      </c>
      <c r="K232" s="149">
        <v>638</v>
      </c>
      <c r="M232" s="405" t="s">
        <v>995</v>
      </c>
      <c r="N232" s="405" t="s">
        <v>993</v>
      </c>
      <c r="O232" s="405" t="s">
        <v>180</v>
      </c>
      <c r="P232" s="149">
        <v>27</v>
      </c>
      <c r="Q232" s="149">
        <v>121</v>
      </c>
      <c r="U232" s="405" t="s">
        <v>965</v>
      </c>
    </row>
    <row r="233" spans="1:21" x14ac:dyDescent="0.25">
      <c r="A233" s="405" t="s">
        <v>288</v>
      </c>
      <c r="B233" s="405" t="s">
        <v>1158</v>
      </c>
      <c r="G233" s="405" t="s">
        <v>122</v>
      </c>
      <c r="H233" s="405" t="s">
        <v>121</v>
      </c>
      <c r="I233" s="405" t="s">
        <v>777</v>
      </c>
      <c r="J233" s="405" t="s">
        <v>1251</v>
      </c>
      <c r="K233" s="149">
        <v>0</v>
      </c>
      <c r="M233" s="405" t="s">
        <v>996</v>
      </c>
      <c r="N233" s="405" t="s">
        <v>994</v>
      </c>
      <c r="O233" s="405" t="s">
        <v>180</v>
      </c>
      <c r="P233" s="149">
        <v>14</v>
      </c>
      <c r="Q233" s="149">
        <v>63</v>
      </c>
      <c r="U233" s="405" t="s">
        <v>995</v>
      </c>
    </row>
    <row r="234" spans="1:21" x14ac:dyDescent="0.25">
      <c r="A234" s="405" t="s">
        <v>288</v>
      </c>
      <c r="B234" s="405" t="s">
        <v>1159</v>
      </c>
      <c r="G234" s="405" t="s">
        <v>124</v>
      </c>
      <c r="H234" s="405" t="s">
        <v>123</v>
      </c>
      <c r="I234" s="405" t="s">
        <v>460</v>
      </c>
      <c r="J234" s="78">
        <v>41275</v>
      </c>
      <c r="K234" s="149">
        <v>8</v>
      </c>
      <c r="M234" s="405" t="s">
        <v>1062</v>
      </c>
      <c r="N234" s="405" t="s">
        <v>1078</v>
      </c>
      <c r="O234" s="405" t="s">
        <v>720</v>
      </c>
      <c r="P234" s="149">
        <v>33</v>
      </c>
      <c r="Q234" s="149">
        <v>174</v>
      </c>
      <c r="U234" s="405" t="s">
        <v>996</v>
      </c>
    </row>
    <row r="235" spans="1:21" x14ac:dyDescent="0.25">
      <c r="A235" s="405" t="s">
        <v>297</v>
      </c>
      <c r="B235" s="405" t="s">
        <v>761</v>
      </c>
      <c r="G235" s="405" t="s">
        <v>1086</v>
      </c>
      <c r="H235" s="405" t="s">
        <v>1087</v>
      </c>
      <c r="I235" s="405" t="s">
        <v>460</v>
      </c>
      <c r="J235" s="78">
        <v>42036</v>
      </c>
      <c r="K235" s="149">
        <v>63</v>
      </c>
      <c r="M235" s="405" t="s">
        <v>1063</v>
      </c>
      <c r="N235" s="405" t="s">
        <v>1064</v>
      </c>
      <c r="O235" s="405" t="s">
        <v>299</v>
      </c>
      <c r="P235" s="149">
        <v>61</v>
      </c>
      <c r="Q235" s="149">
        <v>281</v>
      </c>
      <c r="U235" s="405" t="s">
        <v>1062</v>
      </c>
    </row>
    <row r="236" spans="1:21" x14ac:dyDescent="0.25">
      <c r="A236" s="405" t="s">
        <v>297</v>
      </c>
      <c r="B236" s="405" t="s">
        <v>535</v>
      </c>
      <c r="G236" s="405" t="s">
        <v>96</v>
      </c>
      <c r="H236" s="405" t="s">
        <v>95</v>
      </c>
      <c r="I236" s="405" t="s">
        <v>777</v>
      </c>
      <c r="J236" s="405" t="s">
        <v>1251</v>
      </c>
      <c r="K236" s="149">
        <v>0</v>
      </c>
      <c r="M236" s="405" t="s">
        <v>1073</v>
      </c>
      <c r="N236" s="405" t="s">
        <v>1081</v>
      </c>
      <c r="O236" s="405" t="s">
        <v>173</v>
      </c>
      <c r="P236" s="149"/>
      <c r="Q236" s="149"/>
      <c r="U236" s="405" t="s">
        <v>1063</v>
      </c>
    </row>
    <row r="237" spans="1:21" x14ac:dyDescent="0.25">
      <c r="A237" s="405" t="s">
        <v>297</v>
      </c>
      <c r="B237" s="405" t="s">
        <v>1166</v>
      </c>
      <c r="G237" s="405" t="s">
        <v>1081</v>
      </c>
      <c r="H237" s="405" t="s">
        <v>1073</v>
      </c>
      <c r="I237" s="405" t="s">
        <v>777</v>
      </c>
      <c r="J237" s="78">
        <v>42125</v>
      </c>
      <c r="K237" s="149"/>
      <c r="M237" s="405" t="s">
        <v>1074</v>
      </c>
      <c r="N237" s="405" t="s">
        <v>1080</v>
      </c>
      <c r="O237" s="405" t="s">
        <v>173</v>
      </c>
      <c r="P237" s="149">
        <v>28</v>
      </c>
      <c r="Q237" s="149">
        <v>133</v>
      </c>
      <c r="U237" s="405" t="s">
        <v>1073</v>
      </c>
    </row>
    <row r="238" spans="1:21" x14ac:dyDescent="0.25">
      <c r="A238" s="405" t="s">
        <v>297</v>
      </c>
      <c r="B238" s="405" t="s">
        <v>1216</v>
      </c>
      <c r="G238" s="405" t="s">
        <v>1080</v>
      </c>
      <c r="H238" s="405" t="s">
        <v>1074</v>
      </c>
      <c r="I238" s="405" t="s">
        <v>460</v>
      </c>
      <c r="J238" s="78">
        <v>42125</v>
      </c>
      <c r="K238" s="149">
        <v>28</v>
      </c>
      <c r="M238" s="405" t="s">
        <v>1075</v>
      </c>
      <c r="N238" s="405" t="s">
        <v>1072</v>
      </c>
      <c r="O238" s="405" t="s">
        <v>173</v>
      </c>
      <c r="P238" s="149">
        <v>7</v>
      </c>
      <c r="Q238" s="149">
        <v>31</v>
      </c>
      <c r="U238" s="405" t="s">
        <v>1074</v>
      </c>
    </row>
    <row r="239" spans="1:21" x14ac:dyDescent="0.25">
      <c r="A239" s="405" t="s">
        <v>297</v>
      </c>
      <c r="B239" s="405" t="s">
        <v>1218</v>
      </c>
      <c r="G239" s="405" t="s">
        <v>879</v>
      </c>
      <c r="H239" s="405" t="s">
        <v>880</v>
      </c>
      <c r="I239" s="405" t="s">
        <v>460</v>
      </c>
      <c r="J239" s="78">
        <v>41091</v>
      </c>
      <c r="K239" s="149">
        <v>30</v>
      </c>
      <c r="M239" s="405" t="s">
        <v>1085</v>
      </c>
      <c r="N239" s="405" t="s">
        <v>1084</v>
      </c>
      <c r="O239" s="405" t="s">
        <v>748</v>
      </c>
      <c r="P239" s="149">
        <v>70</v>
      </c>
      <c r="Q239" s="149">
        <v>407</v>
      </c>
      <c r="U239" s="405" t="s">
        <v>1075</v>
      </c>
    </row>
    <row r="240" spans="1:21" x14ac:dyDescent="0.25">
      <c r="A240" s="405" t="s">
        <v>297</v>
      </c>
      <c r="B240" s="405" t="s">
        <v>1219</v>
      </c>
      <c r="G240" s="405" t="s">
        <v>225</v>
      </c>
      <c r="H240" s="405" t="s">
        <v>224</v>
      </c>
      <c r="I240" s="405" t="s">
        <v>460</v>
      </c>
      <c r="J240" s="78">
        <v>41122</v>
      </c>
      <c r="K240" s="149">
        <v>41</v>
      </c>
      <c r="M240" s="405" t="s">
        <v>1087</v>
      </c>
      <c r="N240" s="405" t="s">
        <v>1086</v>
      </c>
      <c r="O240" s="405" t="s">
        <v>748</v>
      </c>
      <c r="P240" s="149">
        <v>63</v>
      </c>
      <c r="Q240" s="149">
        <v>325</v>
      </c>
      <c r="U240" s="405" t="s">
        <v>1085</v>
      </c>
    </row>
    <row r="241" spans="1:21" x14ac:dyDescent="0.25">
      <c r="A241" s="405" t="s">
        <v>297</v>
      </c>
      <c r="B241" s="405" t="s">
        <v>1220</v>
      </c>
      <c r="G241" s="405" t="s">
        <v>1301</v>
      </c>
      <c r="H241" s="405" t="s">
        <v>1299</v>
      </c>
      <c r="I241" s="405" t="s">
        <v>460</v>
      </c>
      <c r="J241" s="78">
        <v>42752</v>
      </c>
      <c r="K241" s="149">
        <v>408</v>
      </c>
      <c r="M241" s="405" t="s">
        <v>1099</v>
      </c>
      <c r="N241" s="405" t="s">
        <v>1098</v>
      </c>
      <c r="O241" s="405" t="s">
        <v>185</v>
      </c>
      <c r="P241" s="149"/>
      <c r="Q241" s="149"/>
      <c r="U241" s="405" t="s">
        <v>1087</v>
      </c>
    </row>
    <row r="242" spans="1:21" x14ac:dyDescent="0.25">
      <c r="A242" s="405" t="s">
        <v>297</v>
      </c>
      <c r="B242" s="405" t="s">
        <v>1221</v>
      </c>
      <c r="G242" s="405" t="s">
        <v>1188</v>
      </c>
      <c r="H242" s="405" t="s">
        <v>1191</v>
      </c>
      <c r="I242" s="405" t="s">
        <v>460</v>
      </c>
      <c r="J242" s="78">
        <v>42584</v>
      </c>
      <c r="K242" s="149">
        <v>28</v>
      </c>
      <c r="M242" s="405" t="s">
        <v>1101</v>
      </c>
      <c r="N242" s="405" t="s">
        <v>1100</v>
      </c>
      <c r="O242" s="405" t="s">
        <v>146</v>
      </c>
      <c r="P242" s="149">
        <v>105</v>
      </c>
      <c r="Q242" s="149">
        <v>568</v>
      </c>
      <c r="U242" s="405" t="s">
        <v>1099</v>
      </c>
    </row>
    <row r="243" spans="1:21" x14ac:dyDescent="0.25">
      <c r="A243" s="405" t="s">
        <v>297</v>
      </c>
      <c r="B243" s="405" t="s">
        <v>1425</v>
      </c>
      <c r="G243" s="405" t="s">
        <v>1187</v>
      </c>
      <c r="H243" s="405" t="s">
        <v>1193</v>
      </c>
      <c r="I243" s="405" t="s">
        <v>460</v>
      </c>
      <c r="J243" s="78">
        <v>42584</v>
      </c>
      <c r="K243" s="149">
        <v>6</v>
      </c>
      <c r="M243" s="405" t="s">
        <v>1163</v>
      </c>
      <c r="N243" s="405" t="s">
        <v>1162</v>
      </c>
      <c r="O243" s="405" t="s">
        <v>481</v>
      </c>
      <c r="P243" s="149"/>
      <c r="Q243" s="149"/>
      <c r="U243" s="405" t="s">
        <v>1101</v>
      </c>
    </row>
    <row r="244" spans="1:21" x14ac:dyDescent="0.25">
      <c r="A244" s="405" t="s">
        <v>299</v>
      </c>
      <c r="B244" s="405" t="s">
        <v>817</v>
      </c>
      <c r="G244" s="405" t="s">
        <v>276</v>
      </c>
      <c r="H244" s="405" t="s">
        <v>275</v>
      </c>
      <c r="I244" s="405" t="s">
        <v>460</v>
      </c>
      <c r="J244" s="78">
        <v>40756</v>
      </c>
      <c r="K244" s="149">
        <v>121</v>
      </c>
      <c r="M244" s="405" t="s">
        <v>1161</v>
      </c>
      <c r="N244" s="405" t="s">
        <v>295</v>
      </c>
      <c r="O244" s="405" t="s">
        <v>151</v>
      </c>
      <c r="P244" s="149"/>
      <c r="Q244" s="149"/>
      <c r="U244" s="405" t="s">
        <v>1163</v>
      </c>
    </row>
    <row r="245" spans="1:21" x14ac:dyDescent="0.25">
      <c r="A245" s="405" t="s">
        <v>299</v>
      </c>
      <c r="B245" s="405" t="s">
        <v>300</v>
      </c>
      <c r="G245" s="405" t="s">
        <v>278</v>
      </c>
      <c r="H245" s="405" t="s">
        <v>277</v>
      </c>
      <c r="I245" s="405" t="s">
        <v>460</v>
      </c>
      <c r="J245" s="78">
        <v>40909</v>
      </c>
      <c r="K245" s="149">
        <v>23</v>
      </c>
      <c r="M245" s="405" t="s">
        <v>1149</v>
      </c>
      <c r="N245" s="405" t="s">
        <v>1157</v>
      </c>
      <c r="O245" s="405" t="s">
        <v>146</v>
      </c>
      <c r="P245" s="149">
        <v>139</v>
      </c>
      <c r="Q245" s="149">
        <v>704</v>
      </c>
      <c r="U245" s="405" t="s">
        <v>1161</v>
      </c>
    </row>
    <row r="246" spans="1:21" x14ac:dyDescent="0.25">
      <c r="A246" s="405" t="s">
        <v>299</v>
      </c>
      <c r="B246" s="405" t="s">
        <v>896</v>
      </c>
      <c r="G246" s="405" t="s">
        <v>345</v>
      </c>
      <c r="H246" s="405" t="s">
        <v>344</v>
      </c>
      <c r="I246" s="405" t="s">
        <v>460</v>
      </c>
      <c r="J246" s="78">
        <v>40848</v>
      </c>
      <c r="K246" s="149">
        <v>182</v>
      </c>
      <c r="M246" s="405" t="s">
        <v>1150</v>
      </c>
      <c r="N246" s="405" t="s">
        <v>1166</v>
      </c>
      <c r="O246" s="405" t="s">
        <v>297</v>
      </c>
      <c r="P246" s="149">
        <v>19</v>
      </c>
      <c r="Q246" s="149">
        <v>82</v>
      </c>
      <c r="U246" s="405" t="s">
        <v>1149</v>
      </c>
    </row>
    <row r="247" spans="1:21" x14ac:dyDescent="0.25">
      <c r="A247" s="405" t="s">
        <v>299</v>
      </c>
      <c r="B247" s="405" t="s">
        <v>1064</v>
      </c>
      <c r="G247" s="405" t="s">
        <v>305</v>
      </c>
      <c r="H247" s="405" t="s">
        <v>304</v>
      </c>
      <c r="I247" s="405" t="s">
        <v>460</v>
      </c>
      <c r="J247" s="78">
        <v>40725</v>
      </c>
      <c r="K247" s="149">
        <v>86</v>
      </c>
      <c r="M247" s="405" t="s">
        <v>1151</v>
      </c>
      <c r="N247" s="405" t="s">
        <v>1169</v>
      </c>
      <c r="O247" s="405" t="s">
        <v>166</v>
      </c>
      <c r="P247" s="149">
        <v>36</v>
      </c>
      <c r="Q247" s="149">
        <v>188</v>
      </c>
      <c r="U247" s="405" t="s">
        <v>1150</v>
      </c>
    </row>
    <row r="248" spans="1:21" x14ac:dyDescent="0.25">
      <c r="A248" s="405" t="s">
        <v>301</v>
      </c>
      <c r="B248" s="405" t="s">
        <v>12</v>
      </c>
      <c r="G248" s="405" t="s">
        <v>307</v>
      </c>
      <c r="H248" s="405" t="s">
        <v>306</v>
      </c>
      <c r="I248" s="405" t="s">
        <v>460</v>
      </c>
      <c r="J248" s="78">
        <v>40725</v>
      </c>
      <c r="K248" s="149">
        <v>46</v>
      </c>
      <c r="M248" s="405" t="s">
        <v>1152</v>
      </c>
      <c r="N248" s="405" t="s">
        <v>1158</v>
      </c>
      <c r="O248" s="405" t="s">
        <v>288</v>
      </c>
      <c r="P248" s="149"/>
      <c r="Q248" s="149"/>
      <c r="U248" s="405" t="s">
        <v>1151</v>
      </c>
    </row>
    <row r="249" spans="1:21" x14ac:dyDescent="0.25">
      <c r="A249" s="405" t="s">
        <v>301</v>
      </c>
      <c r="B249" s="405" t="s">
        <v>303</v>
      </c>
      <c r="G249" s="405" t="s">
        <v>1216</v>
      </c>
      <c r="H249" s="405" t="s">
        <v>1199</v>
      </c>
      <c r="I249" s="405" t="s">
        <v>777</v>
      </c>
      <c r="J249" s="405" t="s">
        <v>1251</v>
      </c>
      <c r="K249" s="149"/>
      <c r="M249" s="405" t="s">
        <v>1153</v>
      </c>
      <c r="N249" s="405" t="s">
        <v>1159</v>
      </c>
      <c r="O249" s="405" t="s">
        <v>288</v>
      </c>
      <c r="P249" s="149">
        <v>61</v>
      </c>
      <c r="Q249" s="149">
        <v>276</v>
      </c>
      <c r="U249" s="405" t="s">
        <v>1152</v>
      </c>
    </row>
    <row r="250" spans="1:21" x14ac:dyDescent="0.25">
      <c r="A250" s="405" t="s">
        <v>301</v>
      </c>
      <c r="B250" s="405" t="s">
        <v>305</v>
      </c>
      <c r="G250" s="405" t="s">
        <v>280</v>
      </c>
      <c r="H250" s="405" t="s">
        <v>279</v>
      </c>
      <c r="I250" s="405" t="s">
        <v>460</v>
      </c>
      <c r="J250" s="78">
        <v>40725</v>
      </c>
      <c r="K250" s="149">
        <v>91</v>
      </c>
      <c r="M250" s="405" t="s">
        <v>1154</v>
      </c>
      <c r="N250" s="405" t="s">
        <v>1160</v>
      </c>
      <c r="O250" s="405" t="s">
        <v>146</v>
      </c>
      <c r="P250" s="149">
        <v>37</v>
      </c>
      <c r="Q250" s="149">
        <v>130</v>
      </c>
      <c r="U250" s="405" t="s">
        <v>1153</v>
      </c>
    </row>
    <row r="251" spans="1:21" x14ac:dyDescent="0.25">
      <c r="A251" s="405" t="s">
        <v>301</v>
      </c>
      <c r="B251" s="405" t="s">
        <v>307</v>
      </c>
      <c r="G251" s="405" t="s">
        <v>815</v>
      </c>
      <c r="H251" s="405" t="s">
        <v>816</v>
      </c>
      <c r="I251" s="405" t="s">
        <v>777</v>
      </c>
      <c r="J251" s="405" t="s">
        <v>1251</v>
      </c>
      <c r="K251" s="149">
        <v>0</v>
      </c>
      <c r="M251" s="405" t="s">
        <v>1155</v>
      </c>
      <c r="N251" s="405" t="s">
        <v>1172</v>
      </c>
      <c r="O251" s="405" t="s">
        <v>720</v>
      </c>
      <c r="P251" s="149"/>
      <c r="Q251" s="149"/>
      <c r="U251" s="405" t="s">
        <v>1154</v>
      </c>
    </row>
    <row r="252" spans="1:21" x14ac:dyDescent="0.25">
      <c r="A252" s="405" t="s">
        <v>748</v>
      </c>
      <c r="B252" s="405" t="s">
        <v>748</v>
      </c>
      <c r="G252" s="405" t="s">
        <v>181</v>
      </c>
      <c r="H252" s="405" t="s">
        <v>179</v>
      </c>
      <c r="I252" s="405" t="s">
        <v>460</v>
      </c>
      <c r="J252" s="78">
        <v>41061</v>
      </c>
      <c r="K252" s="149">
        <v>11</v>
      </c>
      <c r="M252" s="405" t="s">
        <v>1156</v>
      </c>
      <c r="N252" s="405" t="s">
        <v>1175</v>
      </c>
      <c r="O252" s="405" t="s">
        <v>146</v>
      </c>
      <c r="P252" s="149">
        <v>30</v>
      </c>
      <c r="Q252" s="149">
        <v>170</v>
      </c>
      <c r="U252" s="405" t="s">
        <v>1155</v>
      </c>
    </row>
    <row r="253" spans="1:21" x14ac:dyDescent="0.25">
      <c r="A253" s="405" t="s">
        <v>748</v>
      </c>
      <c r="B253" s="405" t="s">
        <v>1084</v>
      </c>
      <c r="G253" s="405" t="s">
        <v>824</v>
      </c>
      <c r="H253" s="405" t="s">
        <v>823</v>
      </c>
      <c r="I253" s="405" t="s">
        <v>777</v>
      </c>
      <c r="J253" s="405" t="s">
        <v>1251</v>
      </c>
      <c r="K253" s="149"/>
      <c r="M253" s="405" t="s">
        <v>1190</v>
      </c>
      <c r="N253" s="405" t="s">
        <v>1184</v>
      </c>
      <c r="O253" s="405" t="s">
        <v>481</v>
      </c>
      <c r="P253" s="149"/>
      <c r="Q253" s="149"/>
      <c r="U253" s="405" t="s">
        <v>1156</v>
      </c>
    </row>
    <row r="254" spans="1:21" x14ac:dyDescent="0.25">
      <c r="A254" s="405" t="s">
        <v>748</v>
      </c>
      <c r="B254" s="405" t="s">
        <v>1086</v>
      </c>
      <c r="G254" s="405" t="s">
        <v>1222</v>
      </c>
      <c r="H254" s="405" t="s">
        <v>1210</v>
      </c>
      <c r="I254" s="405" t="s">
        <v>777</v>
      </c>
      <c r="J254" s="405" t="s">
        <v>1251</v>
      </c>
      <c r="K254" s="149"/>
      <c r="M254" s="405" t="s">
        <v>1191</v>
      </c>
      <c r="N254" s="405" t="s">
        <v>1188</v>
      </c>
      <c r="O254" s="405" t="s">
        <v>481</v>
      </c>
      <c r="P254" s="149">
        <v>28</v>
      </c>
      <c r="Q254" s="149">
        <v>111</v>
      </c>
      <c r="U254" s="405" t="s">
        <v>1190</v>
      </c>
    </row>
    <row r="255" spans="1:21" x14ac:dyDescent="0.25">
      <c r="A255" s="405" t="s">
        <v>309</v>
      </c>
      <c r="B255" s="405" t="s">
        <v>356</v>
      </c>
      <c r="G255" s="405" t="s">
        <v>748</v>
      </c>
      <c r="H255" s="405" t="s">
        <v>752</v>
      </c>
      <c r="I255" s="405" t="s">
        <v>460</v>
      </c>
      <c r="J255" s="405" t="s">
        <v>1251</v>
      </c>
      <c r="K255" s="149">
        <v>5</v>
      </c>
      <c r="M255" s="405" t="s">
        <v>1192</v>
      </c>
      <c r="N255" s="405" t="s">
        <v>1185</v>
      </c>
      <c r="O255" s="405" t="s">
        <v>481</v>
      </c>
      <c r="P255" s="149"/>
      <c r="Q255" s="149"/>
      <c r="U255" s="405" t="s">
        <v>1191</v>
      </c>
    </row>
    <row r="256" spans="1:21" x14ac:dyDescent="0.25">
      <c r="A256" s="405" t="s">
        <v>309</v>
      </c>
      <c r="B256" s="405" t="s">
        <v>333</v>
      </c>
      <c r="G256" s="405" t="s">
        <v>24</v>
      </c>
      <c r="H256" s="405" t="s">
        <v>23</v>
      </c>
      <c r="I256" s="405" t="s">
        <v>460</v>
      </c>
      <c r="J256" s="78">
        <v>41030</v>
      </c>
      <c r="K256" s="149">
        <v>20</v>
      </c>
      <c r="M256" s="405" t="s">
        <v>1193</v>
      </c>
      <c r="N256" s="405" t="s">
        <v>1187</v>
      </c>
      <c r="O256" s="405" t="s">
        <v>481</v>
      </c>
      <c r="P256" s="149">
        <v>6</v>
      </c>
      <c r="Q256" s="149">
        <v>15</v>
      </c>
      <c r="U256" s="405" t="s">
        <v>1192</v>
      </c>
    </row>
    <row r="257" spans="1:21" x14ac:dyDescent="0.25">
      <c r="A257" s="405" t="s">
        <v>309</v>
      </c>
      <c r="B257" s="405" t="s">
        <v>312</v>
      </c>
      <c r="G257" s="405" t="s">
        <v>1592</v>
      </c>
      <c r="H257" s="405" t="s">
        <v>1608</v>
      </c>
      <c r="I257" s="405" t="s">
        <v>460</v>
      </c>
      <c r="J257" s="78">
        <v>42741</v>
      </c>
      <c r="K257" s="149">
        <v>52</v>
      </c>
      <c r="M257" s="405" t="s">
        <v>1194</v>
      </c>
      <c r="N257" s="405" t="s">
        <v>1186</v>
      </c>
      <c r="O257" s="405" t="s">
        <v>481</v>
      </c>
      <c r="P257" s="149">
        <v>18</v>
      </c>
      <c r="Q257" s="149">
        <v>78</v>
      </c>
      <c r="U257" s="405" t="s">
        <v>1193</v>
      </c>
    </row>
    <row r="258" spans="1:21" x14ac:dyDescent="0.25">
      <c r="A258" s="405" t="s">
        <v>309</v>
      </c>
      <c r="B258" s="405" t="s">
        <v>335</v>
      </c>
      <c r="G258" s="405" t="s">
        <v>1594</v>
      </c>
      <c r="H258" s="405" t="s">
        <v>1610</v>
      </c>
      <c r="I258" s="405" t="s">
        <v>460</v>
      </c>
      <c r="J258" s="78">
        <v>42741</v>
      </c>
      <c r="K258" s="149">
        <v>36</v>
      </c>
      <c r="M258" s="405" t="s">
        <v>1199</v>
      </c>
      <c r="N258" s="405" t="s">
        <v>1216</v>
      </c>
      <c r="O258" s="405" t="s">
        <v>297</v>
      </c>
      <c r="P258" s="149"/>
      <c r="Q258" s="149"/>
      <c r="U258" s="405" t="s">
        <v>1194</v>
      </c>
    </row>
    <row r="259" spans="1:21" x14ac:dyDescent="0.25">
      <c r="A259" s="405" t="s">
        <v>309</v>
      </c>
      <c r="B259" s="405" t="s">
        <v>753</v>
      </c>
      <c r="G259" s="405" t="s">
        <v>1593</v>
      </c>
      <c r="H259" s="405" t="s">
        <v>1609</v>
      </c>
      <c r="I259" s="405" t="s">
        <v>460</v>
      </c>
      <c r="J259" s="78">
        <v>42741</v>
      </c>
      <c r="K259" s="149">
        <v>157</v>
      </c>
      <c r="M259" s="405" t="s">
        <v>1200</v>
      </c>
      <c r="N259" s="405" t="s">
        <v>1218</v>
      </c>
      <c r="O259" s="405" t="s">
        <v>297</v>
      </c>
      <c r="P259" s="149">
        <v>13</v>
      </c>
      <c r="Q259" s="149">
        <v>45</v>
      </c>
      <c r="U259" s="405" t="s">
        <v>1199</v>
      </c>
    </row>
    <row r="260" spans="1:21" x14ac:dyDescent="0.25">
      <c r="A260" s="405" t="s">
        <v>309</v>
      </c>
      <c r="B260" s="405" t="s">
        <v>319</v>
      </c>
      <c r="G260" s="405" t="s">
        <v>1604</v>
      </c>
      <c r="H260" s="405" t="s">
        <v>1607</v>
      </c>
      <c r="I260" s="405" t="s">
        <v>460</v>
      </c>
      <c r="J260" s="78">
        <v>42741</v>
      </c>
      <c r="K260" s="149">
        <v>44</v>
      </c>
      <c r="M260" s="405" t="s">
        <v>1201</v>
      </c>
      <c r="N260" s="405" t="s">
        <v>1219</v>
      </c>
      <c r="O260" s="405" t="s">
        <v>297</v>
      </c>
      <c r="P260" s="149"/>
      <c r="Q260" s="149"/>
      <c r="U260" s="405" t="s">
        <v>1200</v>
      </c>
    </row>
    <row r="261" spans="1:21" x14ac:dyDescent="0.25">
      <c r="A261" s="405" t="s">
        <v>309</v>
      </c>
      <c r="B261" s="405" t="s">
        <v>321</v>
      </c>
      <c r="G261" s="405" t="s">
        <v>132</v>
      </c>
      <c r="H261" s="405" t="s">
        <v>131</v>
      </c>
      <c r="I261" s="405" t="s">
        <v>777</v>
      </c>
      <c r="J261" s="405" t="s">
        <v>1251</v>
      </c>
      <c r="K261" s="149">
        <v>0</v>
      </c>
      <c r="M261" s="405" t="s">
        <v>1202</v>
      </c>
      <c r="N261" s="405" t="s">
        <v>1220</v>
      </c>
      <c r="O261" s="405" t="s">
        <v>297</v>
      </c>
      <c r="P261" s="149"/>
      <c r="Q261" s="149"/>
      <c r="U261" s="405" t="s">
        <v>1201</v>
      </c>
    </row>
    <row r="262" spans="1:21" x14ac:dyDescent="0.25">
      <c r="A262" s="405" t="s">
        <v>309</v>
      </c>
      <c r="B262" s="405" t="s">
        <v>327</v>
      </c>
      <c r="G262" s="405" t="s">
        <v>227</v>
      </c>
      <c r="H262" s="405" t="s">
        <v>226</v>
      </c>
      <c r="I262" s="405" t="s">
        <v>777</v>
      </c>
      <c r="J262" s="405" t="s">
        <v>1251</v>
      </c>
      <c r="K262" s="149"/>
      <c r="M262" s="405" t="s">
        <v>1203</v>
      </c>
      <c r="N262" s="405" t="s">
        <v>1221</v>
      </c>
      <c r="O262" s="405" t="s">
        <v>297</v>
      </c>
      <c r="P262" s="149">
        <v>25</v>
      </c>
      <c r="Q262" s="149">
        <v>123</v>
      </c>
      <c r="U262" s="405" t="s">
        <v>1202</v>
      </c>
    </row>
    <row r="263" spans="1:21" x14ac:dyDescent="0.25">
      <c r="A263" s="405" t="s">
        <v>309</v>
      </c>
      <c r="B263" s="405" t="s">
        <v>329</v>
      </c>
      <c r="G263" s="405" t="s">
        <v>238</v>
      </c>
      <c r="H263" s="405" t="s">
        <v>236</v>
      </c>
      <c r="I263" s="405" t="s">
        <v>460</v>
      </c>
      <c r="J263" s="78">
        <v>40695</v>
      </c>
      <c r="K263" s="149">
        <v>69</v>
      </c>
      <c r="M263" s="405" t="s">
        <v>1204</v>
      </c>
      <c r="N263" s="405" t="s">
        <v>1228</v>
      </c>
      <c r="O263" s="405" t="s">
        <v>230</v>
      </c>
      <c r="P263" s="149"/>
      <c r="Q263" s="149"/>
      <c r="U263" s="405" t="s">
        <v>1203</v>
      </c>
    </row>
    <row r="264" spans="1:21" x14ac:dyDescent="0.25">
      <c r="A264" s="405" t="s">
        <v>309</v>
      </c>
      <c r="B264" s="405" t="s">
        <v>323</v>
      </c>
      <c r="G264" s="405" t="s">
        <v>1049</v>
      </c>
      <c r="H264" s="405" t="s">
        <v>241</v>
      </c>
      <c r="I264" s="405" t="s">
        <v>460</v>
      </c>
      <c r="J264" s="78">
        <v>41000</v>
      </c>
      <c r="K264" s="149">
        <v>54</v>
      </c>
      <c r="M264" s="405" t="s">
        <v>1205</v>
      </c>
      <c r="N264" s="405" t="s">
        <v>1238</v>
      </c>
      <c r="O264" s="405" t="s">
        <v>230</v>
      </c>
      <c r="P264" s="149"/>
      <c r="Q264" s="149"/>
      <c r="U264" s="405" t="s">
        <v>1204</v>
      </c>
    </row>
    <row r="265" spans="1:21" x14ac:dyDescent="0.25">
      <c r="A265" s="405" t="s">
        <v>309</v>
      </c>
      <c r="B265" s="405" t="s">
        <v>325</v>
      </c>
      <c r="G265" s="405" t="s">
        <v>248</v>
      </c>
      <c r="H265" s="405" t="s">
        <v>247</v>
      </c>
      <c r="I265" s="405" t="s">
        <v>460</v>
      </c>
      <c r="J265" s="78">
        <v>40756</v>
      </c>
      <c r="K265" s="149">
        <v>6</v>
      </c>
      <c r="M265" s="405" t="s">
        <v>1206</v>
      </c>
      <c r="N265" s="405" t="s">
        <v>1239</v>
      </c>
      <c r="O265" s="405" t="s">
        <v>230</v>
      </c>
      <c r="P265" s="149"/>
      <c r="Q265" s="149"/>
      <c r="U265" s="405" t="s">
        <v>1205</v>
      </c>
    </row>
    <row r="266" spans="1:21" x14ac:dyDescent="0.25">
      <c r="A266" s="405" t="s">
        <v>309</v>
      </c>
      <c r="B266" s="405" t="s">
        <v>331</v>
      </c>
      <c r="G266" s="405" t="s">
        <v>250</v>
      </c>
      <c r="H266" s="405" t="s">
        <v>249</v>
      </c>
      <c r="I266" s="405" t="s">
        <v>460</v>
      </c>
      <c r="J266" s="78">
        <v>40725</v>
      </c>
      <c r="K266" s="149">
        <v>30</v>
      </c>
      <c r="M266" s="405" t="s">
        <v>1207</v>
      </c>
      <c r="N266" s="405" t="s">
        <v>1229</v>
      </c>
      <c r="O266" s="405" t="s">
        <v>230</v>
      </c>
      <c r="P266" s="149"/>
      <c r="Q266" s="149"/>
      <c r="U266" s="405" t="s">
        <v>1206</v>
      </c>
    </row>
    <row r="267" spans="1:21" x14ac:dyDescent="0.25">
      <c r="A267" s="405" t="s">
        <v>309</v>
      </c>
      <c r="B267" s="405" t="s">
        <v>342</v>
      </c>
      <c r="G267" s="405" t="s">
        <v>274</v>
      </c>
      <c r="H267" s="405" t="s">
        <v>273</v>
      </c>
      <c r="I267" s="405" t="s">
        <v>460</v>
      </c>
      <c r="J267" s="78">
        <v>40817</v>
      </c>
      <c r="K267" s="149">
        <v>46</v>
      </c>
      <c r="M267" s="405" t="s">
        <v>1208</v>
      </c>
      <c r="N267" s="405" t="s">
        <v>1240</v>
      </c>
      <c r="O267" s="405" t="s">
        <v>230</v>
      </c>
      <c r="P267" s="149"/>
      <c r="Q267" s="149"/>
      <c r="U267" s="405" t="s">
        <v>1207</v>
      </c>
    </row>
    <row r="268" spans="1:21" x14ac:dyDescent="0.25">
      <c r="A268" s="405" t="s">
        <v>309</v>
      </c>
      <c r="B268" s="405" t="s">
        <v>353</v>
      </c>
      <c r="G268" s="405" t="s">
        <v>1185</v>
      </c>
      <c r="H268" s="405" t="s">
        <v>1192</v>
      </c>
      <c r="I268" s="405" t="s">
        <v>777</v>
      </c>
      <c r="J268" s="78">
        <v>42584</v>
      </c>
      <c r="K268" s="149"/>
      <c r="M268" s="405" t="s">
        <v>1209</v>
      </c>
      <c r="N268" s="405" t="s">
        <v>1244</v>
      </c>
      <c r="O268" s="405" t="s">
        <v>230</v>
      </c>
      <c r="P268" s="149"/>
      <c r="Q268" s="149"/>
      <c r="U268" s="405" t="s">
        <v>1208</v>
      </c>
    </row>
    <row r="269" spans="1:21" x14ac:dyDescent="0.25">
      <c r="A269" s="405" t="s">
        <v>309</v>
      </c>
      <c r="B269" s="405" t="s">
        <v>317</v>
      </c>
      <c r="G269" s="405" t="s">
        <v>347</v>
      </c>
      <c r="H269" s="405" t="s">
        <v>346</v>
      </c>
      <c r="I269" s="405" t="s">
        <v>460</v>
      </c>
      <c r="J269" s="78">
        <v>40848</v>
      </c>
      <c r="K269" s="149">
        <v>46</v>
      </c>
      <c r="M269" s="405" t="s">
        <v>1210</v>
      </c>
      <c r="N269" s="405" t="s">
        <v>1222</v>
      </c>
      <c r="O269" s="405" t="s">
        <v>230</v>
      </c>
      <c r="P269" s="149"/>
      <c r="Q269" s="149"/>
      <c r="U269" s="405" t="s">
        <v>1209</v>
      </c>
    </row>
    <row r="270" spans="1:21" x14ac:dyDescent="0.25">
      <c r="A270" s="405" t="s">
        <v>309</v>
      </c>
      <c r="B270" s="405" t="s">
        <v>340</v>
      </c>
      <c r="G270" s="405" t="s">
        <v>881</v>
      </c>
      <c r="H270" s="405" t="s">
        <v>878</v>
      </c>
      <c r="I270" s="405" t="s">
        <v>777</v>
      </c>
      <c r="J270" s="405" t="s">
        <v>1251</v>
      </c>
      <c r="K270" s="149"/>
      <c r="M270" s="405" t="s">
        <v>1211</v>
      </c>
      <c r="N270" s="405" t="s">
        <v>1223</v>
      </c>
      <c r="O270" s="405" t="s">
        <v>230</v>
      </c>
      <c r="P270" s="149"/>
      <c r="Q270" s="149"/>
      <c r="U270" s="405" t="s">
        <v>1210</v>
      </c>
    </row>
    <row r="271" spans="1:21" x14ac:dyDescent="0.25">
      <c r="A271" s="405" t="s">
        <v>309</v>
      </c>
      <c r="B271" s="405" t="s">
        <v>337</v>
      </c>
      <c r="G271" s="405" t="s">
        <v>134</v>
      </c>
      <c r="H271" s="405" t="s">
        <v>133</v>
      </c>
      <c r="I271" s="405" t="s">
        <v>777</v>
      </c>
      <c r="J271" s="405" t="s">
        <v>1251</v>
      </c>
      <c r="K271" s="149"/>
      <c r="M271" s="405" t="s">
        <v>1212</v>
      </c>
      <c r="N271" s="405" t="s">
        <v>1224</v>
      </c>
      <c r="O271" s="405" t="s">
        <v>230</v>
      </c>
      <c r="P271" s="149"/>
      <c r="Q271" s="149"/>
      <c r="U271" s="405" t="s">
        <v>1211</v>
      </c>
    </row>
    <row r="272" spans="1:21" x14ac:dyDescent="0.25">
      <c r="A272" s="405" t="s">
        <v>309</v>
      </c>
      <c r="B272" s="405" t="s">
        <v>349</v>
      </c>
      <c r="G272" s="405" t="s">
        <v>797</v>
      </c>
      <c r="H272" s="405" t="s">
        <v>785</v>
      </c>
      <c r="I272" s="405" t="s">
        <v>777</v>
      </c>
      <c r="J272" s="405" t="s">
        <v>1251</v>
      </c>
      <c r="K272" s="149">
        <v>0</v>
      </c>
      <c r="M272" s="405" t="s">
        <v>1213</v>
      </c>
      <c r="N272" s="405" t="s">
        <v>1225</v>
      </c>
      <c r="O272" s="405" t="s">
        <v>230</v>
      </c>
      <c r="P272" s="149"/>
      <c r="Q272" s="149"/>
      <c r="U272" s="405" t="s">
        <v>1212</v>
      </c>
    </row>
    <row r="273" spans="1:21" x14ac:dyDescent="0.25">
      <c r="A273" s="405" t="s">
        <v>309</v>
      </c>
      <c r="B273" s="405" t="s">
        <v>345</v>
      </c>
      <c r="G273" s="405" t="s">
        <v>300</v>
      </c>
      <c r="H273" s="405" t="s">
        <v>298</v>
      </c>
      <c r="I273" s="405" t="s">
        <v>460</v>
      </c>
      <c r="J273" s="405" t="s">
        <v>1251</v>
      </c>
      <c r="K273" s="149">
        <v>14</v>
      </c>
      <c r="M273" s="405" t="s">
        <v>1214</v>
      </c>
      <c r="N273" s="405" t="s">
        <v>1226</v>
      </c>
      <c r="O273" s="405" t="s">
        <v>230</v>
      </c>
      <c r="P273" s="149"/>
      <c r="Q273" s="149"/>
      <c r="U273" s="405" t="s">
        <v>1213</v>
      </c>
    </row>
    <row r="274" spans="1:21" x14ac:dyDescent="0.25">
      <c r="A274" s="405" t="s">
        <v>309</v>
      </c>
      <c r="B274" s="405" t="s">
        <v>347</v>
      </c>
      <c r="G274" s="405" t="s">
        <v>1172</v>
      </c>
      <c r="H274" s="405" t="s">
        <v>1155</v>
      </c>
      <c r="I274" s="405" t="s">
        <v>777</v>
      </c>
      <c r="J274" s="78">
        <v>42430</v>
      </c>
      <c r="K274" s="149"/>
      <c r="M274" s="405" t="s">
        <v>1215</v>
      </c>
      <c r="N274" s="405" t="s">
        <v>1227</v>
      </c>
      <c r="O274" s="405" t="s">
        <v>1230</v>
      </c>
      <c r="P274" s="149">
        <v>37</v>
      </c>
      <c r="Q274" s="149">
        <v>120</v>
      </c>
      <c r="U274" s="405" t="s">
        <v>1214</v>
      </c>
    </row>
    <row r="275" spans="1:21" x14ac:dyDescent="0.25">
      <c r="A275" s="405" t="s">
        <v>309</v>
      </c>
      <c r="B275" s="405" t="s">
        <v>315</v>
      </c>
      <c r="G275" s="405" t="s">
        <v>315</v>
      </c>
      <c r="H275" s="405" t="s">
        <v>314</v>
      </c>
      <c r="I275" s="405" t="s">
        <v>460</v>
      </c>
      <c r="J275" s="78">
        <v>40848</v>
      </c>
      <c r="K275" s="149">
        <v>69</v>
      </c>
      <c r="M275" s="405" t="s">
        <v>1262</v>
      </c>
      <c r="N275" s="405" t="s">
        <v>1263</v>
      </c>
      <c r="O275" s="405" t="s">
        <v>146</v>
      </c>
      <c r="P275" s="149">
        <v>36</v>
      </c>
      <c r="Q275" s="149">
        <v>146</v>
      </c>
      <c r="U275" s="405" t="s">
        <v>1215</v>
      </c>
    </row>
    <row r="276" spans="1:21" x14ac:dyDescent="0.25">
      <c r="A276" s="405" t="s">
        <v>309</v>
      </c>
      <c r="B276" s="405" t="s">
        <v>310</v>
      </c>
      <c r="G276" s="405" t="s">
        <v>310</v>
      </c>
      <c r="H276" s="405" t="s">
        <v>308</v>
      </c>
      <c r="I276" s="405" t="s">
        <v>777</v>
      </c>
      <c r="J276" s="78">
        <v>40848</v>
      </c>
      <c r="K276" s="149"/>
      <c r="M276" s="405" t="s">
        <v>1274</v>
      </c>
      <c r="N276" s="405" t="s">
        <v>1273</v>
      </c>
      <c r="O276" s="405" t="s">
        <v>146</v>
      </c>
      <c r="P276" s="149">
        <v>24</v>
      </c>
      <c r="Q276" s="149">
        <v>84</v>
      </c>
      <c r="U276" s="405" t="s">
        <v>1262</v>
      </c>
    </row>
    <row r="277" spans="1:21" x14ac:dyDescent="0.25">
      <c r="A277" s="405" t="s">
        <v>309</v>
      </c>
      <c r="B277" s="405" t="s">
        <v>351</v>
      </c>
      <c r="G277" s="405" t="s">
        <v>1162</v>
      </c>
      <c r="H277" s="405" t="s">
        <v>1163</v>
      </c>
      <c r="I277" s="405" t="s">
        <v>777</v>
      </c>
      <c r="J277" s="78">
        <v>42370</v>
      </c>
      <c r="K277" s="149"/>
      <c r="M277" s="405" t="s">
        <v>1278</v>
      </c>
      <c r="N277" s="405" t="s">
        <v>717</v>
      </c>
      <c r="O277" s="405" t="s">
        <v>230</v>
      </c>
      <c r="P277" s="149">
        <v>154</v>
      </c>
      <c r="Q277" s="149">
        <v>778</v>
      </c>
      <c r="U277" s="405" t="s">
        <v>1274</v>
      </c>
    </row>
    <row r="278" spans="1:21" x14ac:dyDescent="0.25">
      <c r="A278" s="405" t="s">
        <v>309</v>
      </c>
      <c r="B278" s="405" t="s">
        <v>1051</v>
      </c>
      <c r="G278" s="405" t="s">
        <v>64</v>
      </c>
      <c r="H278" s="405" t="s">
        <v>63</v>
      </c>
      <c r="I278" s="405" t="s">
        <v>777</v>
      </c>
      <c r="J278" s="78">
        <v>41275</v>
      </c>
      <c r="K278" s="149"/>
      <c r="M278" s="405" t="s">
        <v>1287</v>
      </c>
      <c r="N278" s="405" t="s">
        <v>1290</v>
      </c>
      <c r="O278" s="405" t="s">
        <v>309</v>
      </c>
      <c r="P278" s="149">
        <v>62</v>
      </c>
      <c r="Q278" s="149">
        <v>410</v>
      </c>
      <c r="U278" s="405" t="s">
        <v>1278</v>
      </c>
    </row>
    <row r="279" spans="1:21" x14ac:dyDescent="0.25">
      <c r="A279" s="405" t="s">
        <v>309</v>
      </c>
      <c r="B279" s="405" t="s">
        <v>1052</v>
      </c>
      <c r="G279" s="405" t="s">
        <v>126</v>
      </c>
      <c r="H279" s="405" t="s">
        <v>125</v>
      </c>
      <c r="I279" s="405" t="s">
        <v>460</v>
      </c>
      <c r="J279" s="78">
        <v>41275</v>
      </c>
      <c r="K279" s="149">
        <v>32</v>
      </c>
      <c r="M279" s="405" t="s">
        <v>1299</v>
      </c>
      <c r="N279" s="405" t="s">
        <v>1301</v>
      </c>
      <c r="O279" s="405" t="s">
        <v>309</v>
      </c>
      <c r="P279" s="149">
        <v>408</v>
      </c>
      <c r="Q279" s="149">
        <v>1888</v>
      </c>
      <c r="U279" s="405" t="s">
        <v>1287</v>
      </c>
    </row>
    <row r="280" spans="1:21" x14ac:dyDescent="0.25">
      <c r="A280" s="405" t="s">
        <v>309</v>
      </c>
      <c r="B280" s="405" t="s">
        <v>1053</v>
      </c>
      <c r="G280" s="405" t="s">
        <v>1226</v>
      </c>
      <c r="H280" s="405" t="s">
        <v>1214</v>
      </c>
      <c r="I280" s="405" t="s">
        <v>777</v>
      </c>
      <c r="J280" s="405" t="s">
        <v>1251</v>
      </c>
      <c r="K280" s="149"/>
      <c r="M280" s="405" t="s">
        <v>1415</v>
      </c>
      <c r="N280" s="405" t="s">
        <v>1426</v>
      </c>
      <c r="O280" s="405" t="s">
        <v>481</v>
      </c>
      <c r="P280" s="149">
        <v>118</v>
      </c>
      <c r="Q280" s="149">
        <v>618</v>
      </c>
      <c r="U280" s="405" t="s">
        <v>1299</v>
      </c>
    </row>
    <row r="281" spans="1:21" x14ac:dyDescent="0.25">
      <c r="A281" s="405" t="s">
        <v>309</v>
      </c>
      <c r="B281" s="405" t="s">
        <v>1048</v>
      </c>
      <c r="G281" s="405" t="s">
        <v>351</v>
      </c>
      <c r="H281" s="405" t="s">
        <v>350</v>
      </c>
      <c r="I281" s="405" t="s">
        <v>460</v>
      </c>
      <c r="J281" s="78">
        <v>40695</v>
      </c>
      <c r="K281" s="149">
        <v>1411</v>
      </c>
      <c r="M281" s="405" t="s">
        <v>1424</v>
      </c>
      <c r="N281" s="405" t="s">
        <v>1425</v>
      </c>
      <c r="O281" s="405" t="s">
        <v>297</v>
      </c>
      <c r="P281" s="149">
        <v>59</v>
      </c>
      <c r="Q281" s="149">
        <v>250</v>
      </c>
      <c r="U281" s="405" t="s">
        <v>1415</v>
      </c>
    </row>
    <row r="282" spans="1:21" x14ac:dyDescent="0.25">
      <c r="A282" s="405" t="s">
        <v>309</v>
      </c>
      <c r="B282" s="405" t="s">
        <v>1050</v>
      </c>
      <c r="G282" s="405" t="s">
        <v>37</v>
      </c>
      <c r="H282" s="405" t="s">
        <v>36</v>
      </c>
      <c r="I282" s="405" t="s">
        <v>777</v>
      </c>
      <c r="J282" s="405" t="s">
        <v>1251</v>
      </c>
      <c r="K282" s="149"/>
      <c r="M282" s="405" t="s">
        <v>1607</v>
      </c>
      <c r="N282" s="405" t="s">
        <v>1604</v>
      </c>
      <c r="O282" s="405" t="s">
        <v>1165</v>
      </c>
      <c r="P282" s="149">
        <v>44</v>
      </c>
      <c r="Q282" s="149">
        <v>150</v>
      </c>
      <c r="U282" s="405" t="s">
        <v>1424</v>
      </c>
    </row>
    <row r="283" spans="1:21" x14ac:dyDescent="0.25">
      <c r="A283" s="405" t="s">
        <v>309</v>
      </c>
      <c r="B283" s="405" t="s">
        <v>1290</v>
      </c>
      <c r="G283" s="405" t="s">
        <v>74</v>
      </c>
      <c r="H283" s="405" t="s">
        <v>73</v>
      </c>
      <c r="I283" s="405" t="s">
        <v>777</v>
      </c>
      <c r="J283" s="405" t="s">
        <v>1251</v>
      </c>
      <c r="K283" s="149"/>
      <c r="M283" s="405" t="s">
        <v>1608</v>
      </c>
      <c r="N283" s="405" t="s">
        <v>1592</v>
      </c>
      <c r="O283" s="405" t="s">
        <v>1165</v>
      </c>
      <c r="P283" s="149">
        <v>52</v>
      </c>
      <c r="Q283" s="149">
        <v>219</v>
      </c>
      <c r="U283" s="405" t="s">
        <v>1607</v>
      </c>
    </row>
    <row r="284" spans="1:21" x14ac:dyDescent="0.25">
      <c r="A284" s="405" t="s">
        <v>309</v>
      </c>
      <c r="B284" s="405" t="s">
        <v>1301</v>
      </c>
      <c r="G284" s="405" t="s">
        <v>282</v>
      </c>
      <c r="H284" s="405" t="s">
        <v>281</v>
      </c>
      <c r="I284" s="405" t="s">
        <v>777</v>
      </c>
      <c r="J284" s="78">
        <v>41000</v>
      </c>
      <c r="K284" s="149">
        <v>7</v>
      </c>
      <c r="M284" s="405" t="s">
        <v>1609</v>
      </c>
      <c r="N284" s="405" t="s">
        <v>1593</v>
      </c>
      <c r="O284" s="405" t="s">
        <v>1165</v>
      </c>
      <c r="P284" s="149">
        <v>157</v>
      </c>
      <c r="Q284" s="149">
        <v>486</v>
      </c>
      <c r="U284" s="405" t="s">
        <v>1608</v>
      </c>
    </row>
    <row r="285" spans="1:21" x14ac:dyDescent="0.25">
      <c r="A285" s="405" t="s">
        <v>1230</v>
      </c>
      <c r="B285" s="405" t="s">
        <v>1227</v>
      </c>
      <c r="G285" s="405" t="s">
        <v>26</v>
      </c>
      <c r="H285" s="405" t="s">
        <v>25</v>
      </c>
      <c r="I285" s="405" t="s">
        <v>460</v>
      </c>
      <c r="J285" s="78">
        <v>41122</v>
      </c>
      <c r="K285" s="149">
        <v>14</v>
      </c>
      <c r="M285" s="405" t="s">
        <v>1610</v>
      </c>
      <c r="N285" s="405" t="s">
        <v>1594</v>
      </c>
      <c r="O285" s="405" t="s">
        <v>1165</v>
      </c>
      <c r="P285" s="149">
        <v>36</v>
      </c>
      <c r="Q285" s="149">
        <v>137</v>
      </c>
      <c r="U285" s="405" t="s">
        <v>1609</v>
      </c>
    </row>
    <row r="286" spans="1:21" x14ac:dyDescent="0.25">
      <c r="A286" s="405" t="s">
        <v>1165</v>
      </c>
      <c r="B286" s="405" t="s">
        <v>1592</v>
      </c>
      <c r="G286" s="405" t="s">
        <v>140</v>
      </c>
      <c r="H286" s="405" t="s">
        <v>139</v>
      </c>
      <c r="I286" s="405" t="s">
        <v>460</v>
      </c>
      <c r="J286" s="78">
        <v>41122</v>
      </c>
      <c r="K286" s="149">
        <v>11</v>
      </c>
      <c r="M286" s="405" t="s">
        <v>789</v>
      </c>
      <c r="N286" s="405" t="s">
        <v>1727</v>
      </c>
      <c r="O286" s="405" t="s">
        <v>237</v>
      </c>
      <c r="P286" s="149">
        <v>23</v>
      </c>
      <c r="Q286" s="149">
        <v>54</v>
      </c>
      <c r="U286" s="405" t="s">
        <v>1610</v>
      </c>
    </row>
    <row r="287" spans="1:21" x14ac:dyDescent="0.25">
      <c r="A287" s="405" t="s">
        <v>1165</v>
      </c>
      <c r="B287" s="405" t="s">
        <v>1593</v>
      </c>
      <c r="G287" s="405" t="s">
        <v>1050</v>
      </c>
      <c r="H287" s="405" t="s">
        <v>354</v>
      </c>
      <c r="I287" s="405" t="s">
        <v>777</v>
      </c>
      <c r="J287" s="78">
        <v>40848</v>
      </c>
      <c r="K287" s="149"/>
      <c r="M287" s="405" t="s">
        <v>789</v>
      </c>
      <c r="N287" s="405" t="s">
        <v>1746</v>
      </c>
      <c r="O287" s="405" t="s">
        <v>237</v>
      </c>
      <c r="P287" s="149">
        <v>25</v>
      </c>
      <c r="Q287" s="149">
        <v>69</v>
      </c>
      <c r="U287" s="405" t="s">
        <v>789</v>
      </c>
    </row>
    <row r="288" spans="1:21" x14ac:dyDescent="0.25">
      <c r="A288" s="405" t="s">
        <v>1165</v>
      </c>
      <c r="B288" s="405" t="s">
        <v>1594</v>
      </c>
      <c r="G288" s="405" t="s">
        <v>468</v>
      </c>
      <c r="H288" s="405" t="s">
        <v>469</v>
      </c>
      <c r="I288" s="405" t="s">
        <v>777</v>
      </c>
      <c r="J288" s="405" t="s">
        <v>1251</v>
      </c>
      <c r="K288" s="149">
        <v>0</v>
      </c>
      <c r="M288" s="405" t="s">
        <v>789</v>
      </c>
      <c r="N288" s="405" t="s">
        <v>1755</v>
      </c>
      <c r="O288" s="405" t="s">
        <v>146</v>
      </c>
      <c r="P288" s="149">
        <v>37</v>
      </c>
      <c r="Q288" s="149">
        <v>198</v>
      </c>
      <c r="U288" s="405" t="s">
        <v>1481</v>
      </c>
    </row>
    <row r="289" spans="1:17" x14ac:dyDescent="0.25">
      <c r="A289" s="405" t="s">
        <v>1165</v>
      </c>
      <c r="B289" s="405" t="s">
        <v>1604</v>
      </c>
      <c r="G289" s="405" t="s">
        <v>371</v>
      </c>
      <c r="H289" s="405" t="s">
        <v>385</v>
      </c>
      <c r="I289" s="405" t="s">
        <v>460</v>
      </c>
      <c r="J289" s="78">
        <v>41244</v>
      </c>
      <c r="K289" s="149">
        <v>187</v>
      </c>
      <c r="M289" s="405" t="s">
        <v>1481</v>
      </c>
      <c r="N289" s="405" t="s">
        <v>1735</v>
      </c>
      <c r="O289" s="405" t="s">
        <v>173</v>
      </c>
      <c r="P289" s="149">
        <v>245</v>
      </c>
      <c r="Q289" s="149">
        <v>1084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5" x14ac:dyDescent="0.25"/>
  <cols>
    <col min="1" max="1" width="14.28515625" customWidth="1"/>
    <col min="2" max="2" width="25.28515625" style="37" customWidth="1"/>
    <col min="3" max="3" width="47.28515625" customWidth="1"/>
    <col min="4" max="4" width="16" customWidth="1"/>
    <col min="6" max="7" width="0" hidden="1" customWidth="1"/>
    <col min="8" max="8" width="50.8554687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15" t="s">
        <v>458</v>
      </c>
      <c r="B1" s="404" t="s">
        <v>966</v>
      </c>
      <c r="H1"/>
      <c r="I1"/>
    </row>
    <row r="2" spans="1:10" x14ac:dyDescent="0.25">
      <c r="H2" s="225" t="s">
        <v>458</v>
      </c>
      <c r="I2" s="233" t="s">
        <v>460</v>
      </c>
    </row>
    <row r="3" spans="1:10" x14ac:dyDescent="0.25">
      <c r="A3" s="183" t="s">
        <v>0</v>
      </c>
      <c r="B3" s="184" t="s">
        <v>512</v>
      </c>
      <c r="C3" s="123" t="s">
        <v>464</v>
      </c>
      <c r="D3" s="121" t="s">
        <v>869</v>
      </c>
    </row>
    <row r="4" spans="1:10" x14ac:dyDescent="0.25">
      <c r="A4" s="189" t="s">
        <v>5</v>
      </c>
      <c r="B4" s="189" t="s">
        <v>21</v>
      </c>
      <c r="C4" s="404" t="s">
        <v>22</v>
      </c>
      <c r="D4" s="193">
        <v>0.66614420062695934</v>
      </c>
      <c r="H4" s="183" t="s">
        <v>410</v>
      </c>
      <c r="I4" s="162" t="s">
        <v>796</v>
      </c>
      <c r="J4"/>
    </row>
    <row r="5" spans="1:10" x14ac:dyDescent="0.25">
      <c r="A5" s="119"/>
      <c r="B5" s="119" t="s">
        <v>17</v>
      </c>
      <c r="C5" s="404" t="s">
        <v>18</v>
      </c>
      <c r="D5" s="194">
        <v>0.7846153846153846</v>
      </c>
      <c r="H5" s="185" t="s">
        <v>309</v>
      </c>
      <c r="I5" s="678">
        <v>4781</v>
      </c>
      <c r="J5"/>
    </row>
    <row r="6" spans="1:10" x14ac:dyDescent="0.25">
      <c r="A6" s="119"/>
      <c r="B6" s="119" t="s">
        <v>4</v>
      </c>
      <c r="C6" s="404" t="s">
        <v>6</v>
      </c>
      <c r="D6" s="194">
        <v>0.66147859922178998</v>
      </c>
      <c r="H6" s="358" t="s">
        <v>333</v>
      </c>
      <c r="I6" s="678">
        <v>132</v>
      </c>
      <c r="J6"/>
    </row>
    <row r="7" spans="1:10" x14ac:dyDescent="0.25">
      <c r="A7" s="119"/>
      <c r="B7" s="119" t="s">
        <v>13</v>
      </c>
      <c r="C7" s="404" t="s">
        <v>14</v>
      </c>
      <c r="D7" s="194">
        <v>1</v>
      </c>
      <c r="H7" s="358" t="s">
        <v>312</v>
      </c>
      <c r="I7" s="678">
        <v>103</v>
      </c>
      <c r="J7"/>
    </row>
    <row r="8" spans="1:10" x14ac:dyDescent="0.25">
      <c r="A8" s="119"/>
      <c r="B8" s="119" t="s">
        <v>25</v>
      </c>
      <c r="C8" s="404" t="s">
        <v>26</v>
      </c>
      <c r="D8" s="194">
        <v>2.8000000000000003</v>
      </c>
      <c r="H8" s="358" t="s">
        <v>335</v>
      </c>
      <c r="I8" s="678">
        <v>149</v>
      </c>
      <c r="J8"/>
    </row>
    <row r="9" spans="1:10" x14ac:dyDescent="0.25">
      <c r="A9" s="119"/>
      <c r="B9" s="119" t="s">
        <v>19</v>
      </c>
      <c r="C9" s="404" t="s">
        <v>20</v>
      </c>
      <c r="D9" s="194">
        <v>0.47619047619047616</v>
      </c>
      <c r="H9" s="358" t="s">
        <v>753</v>
      </c>
      <c r="I9" s="678"/>
      <c r="J9"/>
    </row>
    <row r="10" spans="1:10" x14ac:dyDescent="0.25">
      <c r="A10" s="119"/>
      <c r="B10" s="119" t="s">
        <v>23</v>
      </c>
      <c r="C10" s="404" t="s">
        <v>24</v>
      </c>
      <c r="D10" s="194">
        <v>1.75</v>
      </c>
      <c r="H10" s="358" t="s">
        <v>319</v>
      </c>
      <c r="I10" s="678">
        <v>30</v>
      </c>
      <c r="J10"/>
    </row>
    <row r="11" spans="1:10" x14ac:dyDescent="0.25">
      <c r="A11" s="119"/>
      <c r="B11" s="119" t="s">
        <v>374</v>
      </c>
      <c r="C11" s="404" t="s">
        <v>364</v>
      </c>
      <c r="D11" s="194">
        <v>0.82352941176470584</v>
      </c>
      <c r="H11" s="358" t="s">
        <v>321</v>
      </c>
      <c r="I11" s="678">
        <v>437</v>
      </c>
      <c r="J11"/>
    </row>
    <row r="12" spans="1:10" x14ac:dyDescent="0.25">
      <c r="A12" s="119"/>
      <c r="B12" s="119" t="s">
        <v>7</v>
      </c>
      <c r="C12" s="404" t="s">
        <v>8</v>
      </c>
      <c r="D12" s="194">
        <v>1.3846153846153846</v>
      </c>
      <c r="H12" s="358" t="s">
        <v>327</v>
      </c>
      <c r="I12" s="678">
        <v>333</v>
      </c>
      <c r="J12"/>
    </row>
    <row r="13" spans="1:10" x14ac:dyDescent="0.25">
      <c r="A13" s="120"/>
      <c r="B13" s="120" t="s">
        <v>375</v>
      </c>
      <c r="C13" s="404" t="s">
        <v>466</v>
      </c>
      <c r="D13" s="195">
        <v>1.8333333333333335</v>
      </c>
      <c r="H13" s="358" t="s">
        <v>329</v>
      </c>
      <c r="I13" s="678">
        <v>282</v>
      </c>
      <c r="J13"/>
    </row>
    <row r="14" spans="1:10" x14ac:dyDescent="0.25">
      <c r="A14" s="119" t="s">
        <v>27</v>
      </c>
      <c r="B14" s="119" t="s">
        <v>30</v>
      </c>
      <c r="C14" s="120" t="s">
        <v>28</v>
      </c>
      <c r="D14" s="194">
        <v>0.9907407407407407</v>
      </c>
      <c r="H14" s="358" t="s">
        <v>323</v>
      </c>
      <c r="I14" s="678">
        <v>499</v>
      </c>
      <c r="J14"/>
    </row>
    <row r="15" spans="1:10" x14ac:dyDescent="0.25">
      <c r="A15" s="119"/>
      <c r="B15" s="119" t="s">
        <v>376</v>
      </c>
      <c r="C15" s="120" t="s">
        <v>363</v>
      </c>
      <c r="D15" s="194">
        <v>0.50694444444444442</v>
      </c>
      <c r="H15" s="358" t="s">
        <v>325</v>
      </c>
      <c r="I15" s="678">
        <v>46</v>
      </c>
      <c r="J15"/>
    </row>
    <row r="16" spans="1:10" x14ac:dyDescent="0.25">
      <c r="A16" s="119"/>
      <c r="B16" s="120" t="s">
        <v>791</v>
      </c>
      <c r="C16" s="120" t="s">
        <v>792</v>
      </c>
      <c r="D16" s="195">
        <v>0</v>
      </c>
      <c r="H16" s="358" t="s">
        <v>342</v>
      </c>
      <c r="I16" s="678">
        <v>20</v>
      </c>
      <c r="J16"/>
    </row>
    <row r="17" spans="1:10" x14ac:dyDescent="0.25">
      <c r="A17" s="119"/>
      <c r="B17" s="148" t="s">
        <v>29</v>
      </c>
      <c r="C17" s="148" t="s">
        <v>362</v>
      </c>
      <c r="D17" s="122">
        <v>0</v>
      </c>
      <c r="H17" s="471" t="s">
        <v>353</v>
      </c>
      <c r="I17" s="678">
        <v>88</v>
      </c>
      <c r="J17"/>
    </row>
    <row r="18" spans="1:10" x14ac:dyDescent="0.25">
      <c r="A18" s="120"/>
      <c r="B18" s="148" t="s">
        <v>880</v>
      </c>
      <c r="C18" s="148" t="s">
        <v>879</v>
      </c>
      <c r="D18" s="122">
        <v>0</v>
      </c>
      <c r="H18" s="358" t="s">
        <v>317</v>
      </c>
      <c r="I18" s="678">
        <v>115</v>
      </c>
      <c r="J18"/>
    </row>
    <row r="19" spans="1:10" x14ac:dyDescent="0.25">
      <c r="A19" s="119" t="s">
        <v>481</v>
      </c>
      <c r="B19" s="119" t="s">
        <v>870</v>
      </c>
      <c r="C19" s="119" t="s">
        <v>826</v>
      </c>
      <c r="D19" s="194">
        <v>0</v>
      </c>
      <c r="H19" s="358" t="s">
        <v>340</v>
      </c>
      <c r="I19" s="678">
        <v>64</v>
      </c>
      <c r="J19"/>
    </row>
    <row r="20" spans="1:10" x14ac:dyDescent="0.25">
      <c r="A20" s="119"/>
      <c r="B20" s="119"/>
      <c r="C20" s="120" t="s">
        <v>789</v>
      </c>
      <c r="D20" s="194">
        <v>0</v>
      </c>
      <c r="H20" s="358" t="s">
        <v>337</v>
      </c>
      <c r="I20" s="678">
        <v>29</v>
      </c>
      <c r="J20"/>
    </row>
    <row r="21" spans="1:10" x14ac:dyDescent="0.25">
      <c r="A21" s="119"/>
      <c r="B21" s="119" t="s">
        <v>99</v>
      </c>
      <c r="C21" s="120" t="s">
        <v>100</v>
      </c>
      <c r="D21" s="194">
        <v>2</v>
      </c>
      <c r="H21" s="358" t="s">
        <v>349</v>
      </c>
      <c r="I21" s="678">
        <v>90</v>
      </c>
      <c r="J21"/>
    </row>
    <row r="22" spans="1:10" x14ac:dyDescent="0.25">
      <c r="A22" s="119"/>
      <c r="B22" s="119" t="s">
        <v>107</v>
      </c>
      <c r="C22" s="120" t="s">
        <v>108</v>
      </c>
      <c r="D22" s="194">
        <v>1.1000000000000001</v>
      </c>
      <c r="H22" s="358" t="s">
        <v>345</v>
      </c>
      <c r="I22" s="678">
        <v>182</v>
      </c>
      <c r="J22"/>
    </row>
    <row r="23" spans="1:10" x14ac:dyDescent="0.25">
      <c r="A23" s="119"/>
      <c r="B23" s="119" t="s">
        <v>139</v>
      </c>
      <c r="C23" s="120" t="s">
        <v>140</v>
      </c>
      <c r="D23" s="194">
        <v>0.90909090909090906</v>
      </c>
      <c r="H23" s="358" t="s">
        <v>347</v>
      </c>
      <c r="I23" s="678">
        <v>46</v>
      </c>
      <c r="J23"/>
    </row>
    <row r="24" spans="1:10" x14ac:dyDescent="0.25">
      <c r="A24" s="119"/>
      <c r="B24" s="119" t="s">
        <v>71</v>
      </c>
      <c r="C24" s="120" t="s">
        <v>72</v>
      </c>
      <c r="D24" s="194">
        <v>1</v>
      </c>
      <c r="H24" s="358" t="s">
        <v>315</v>
      </c>
      <c r="I24" s="678">
        <v>69</v>
      </c>
      <c r="J24"/>
    </row>
    <row r="25" spans="1:10" x14ac:dyDescent="0.25">
      <c r="A25" s="119"/>
      <c r="B25" s="119" t="s">
        <v>51</v>
      </c>
      <c r="C25" s="120" t="s">
        <v>52</v>
      </c>
      <c r="D25" s="194">
        <v>0.52631578947368418</v>
      </c>
      <c r="H25" s="471" t="s">
        <v>351</v>
      </c>
      <c r="I25" s="678">
        <v>1411</v>
      </c>
      <c r="J25"/>
    </row>
    <row r="26" spans="1:10" x14ac:dyDescent="0.25">
      <c r="A26" s="119"/>
      <c r="B26" s="119" t="s">
        <v>75</v>
      </c>
      <c r="C26" s="120" t="s">
        <v>76</v>
      </c>
      <c r="D26" s="194">
        <v>1.0714285714285714</v>
      </c>
      <c r="H26" s="358" t="s">
        <v>1048</v>
      </c>
      <c r="I26" s="678">
        <v>186</v>
      </c>
      <c r="J26"/>
    </row>
    <row r="27" spans="1:10" x14ac:dyDescent="0.25">
      <c r="A27" s="119"/>
      <c r="B27" s="119" t="s">
        <v>40</v>
      </c>
      <c r="C27" s="120" t="s">
        <v>41</v>
      </c>
      <c r="D27" s="194">
        <v>0.90909090909090906</v>
      </c>
      <c r="H27" s="358" t="s">
        <v>1290</v>
      </c>
      <c r="I27" s="678">
        <v>62</v>
      </c>
      <c r="J27"/>
    </row>
    <row r="28" spans="1:10" x14ac:dyDescent="0.25">
      <c r="A28" s="119"/>
      <c r="B28" s="119" t="s">
        <v>89</v>
      </c>
      <c r="C28" s="120" t="s">
        <v>90</v>
      </c>
      <c r="D28" s="194">
        <v>1.25</v>
      </c>
      <c r="H28" s="358" t="s">
        <v>1301</v>
      </c>
      <c r="I28" s="678">
        <v>408</v>
      </c>
      <c r="J28"/>
    </row>
    <row r="29" spans="1:10" x14ac:dyDescent="0.25">
      <c r="A29" s="119"/>
      <c r="B29" s="119" t="s">
        <v>117</v>
      </c>
      <c r="C29" s="120" t="s">
        <v>118</v>
      </c>
      <c r="D29" s="194">
        <v>1</v>
      </c>
      <c r="H29" s="185" t="s">
        <v>185</v>
      </c>
      <c r="I29" s="678">
        <v>4725</v>
      </c>
      <c r="J29"/>
    </row>
    <row r="30" spans="1:10" x14ac:dyDescent="0.25">
      <c r="A30" s="119"/>
      <c r="B30" s="119" t="s">
        <v>123</v>
      </c>
      <c r="C30" s="120" t="s">
        <v>124</v>
      </c>
      <c r="D30" s="194">
        <v>0.625</v>
      </c>
      <c r="H30" s="358" t="s">
        <v>192</v>
      </c>
      <c r="I30" s="678">
        <v>100</v>
      </c>
      <c r="J30"/>
    </row>
    <row r="31" spans="1:10" x14ac:dyDescent="0.25">
      <c r="A31" s="119"/>
      <c r="B31" s="119" t="s">
        <v>125</v>
      </c>
      <c r="C31" s="120" t="s">
        <v>126</v>
      </c>
      <c r="D31" s="194">
        <v>0.45454545454545453</v>
      </c>
      <c r="H31" s="358" t="s">
        <v>12</v>
      </c>
      <c r="I31" s="678">
        <v>226</v>
      </c>
      <c r="J31"/>
    </row>
    <row r="32" spans="1:10" x14ac:dyDescent="0.25">
      <c r="A32" s="119"/>
      <c r="B32" s="119" t="s">
        <v>45</v>
      </c>
      <c r="C32" s="120" t="s">
        <v>44</v>
      </c>
      <c r="D32" s="194">
        <v>2</v>
      </c>
      <c r="H32" s="358" t="s">
        <v>194</v>
      </c>
      <c r="I32" s="678">
        <v>717</v>
      </c>
      <c r="J32"/>
    </row>
    <row r="33" spans="1:10" x14ac:dyDescent="0.25">
      <c r="A33" s="119"/>
      <c r="B33" s="119" t="s">
        <v>46</v>
      </c>
      <c r="C33" s="120" t="s">
        <v>552</v>
      </c>
      <c r="D33" s="194">
        <v>1.25</v>
      </c>
      <c r="H33" s="471" t="s">
        <v>196</v>
      </c>
      <c r="I33" s="678">
        <v>1518</v>
      </c>
      <c r="J33"/>
    </row>
    <row r="34" spans="1:10" x14ac:dyDescent="0.25">
      <c r="A34" s="119"/>
      <c r="B34" s="119" t="s">
        <v>42</v>
      </c>
      <c r="C34" s="120" t="s">
        <v>43</v>
      </c>
      <c r="D34" s="194">
        <v>0.7142857142857143</v>
      </c>
      <c r="H34" s="358" t="s">
        <v>475</v>
      </c>
      <c r="I34" s="678">
        <v>3</v>
      </c>
      <c r="J34"/>
    </row>
    <row r="35" spans="1:10" x14ac:dyDescent="0.25">
      <c r="A35" s="119"/>
      <c r="B35" s="120" t="s">
        <v>91</v>
      </c>
      <c r="C35" s="120" t="s">
        <v>92</v>
      </c>
      <c r="D35" s="195">
        <v>1</v>
      </c>
      <c r="H35" s="358" t="s">
        <v>186</v>
      </c>
      <c r="I35" s="678">
        <v>40</v>
      </c>
      <c r="J35"/>
    </row>
    <row r="36" spans="1:10" x14ac:dyDescent="0.25">
      <c r="A36" s="119"/>
      <c r="B36" s="148" t="s">
        <v>119</v>
      </c>
      <c r="C36" s="148" t="s">
        <v>120</v>
      </c>
      <c r="D36" s="122">
        <v>0.16666666666666666</v>
      </c>
      <c r="H36" s="358" t="s">
        <v>223</v>
      </c>
      <c r="I36" s="678">
        <v>129</v>
      </c>
      <c r="J36"/>
    </row>
    <row r="37" spans="1:10" x14ac:dyDescent="0.25">
      <c r="A37" s="119"/>
      <c r="B37" s="148" t="s">
        <v>1193</v>
      </c>
      <c r="C37" s="148" t="s">
        <v>1187</v>
      </c>
      <c r="D37" s="122">
        <v>0</v>
      </c>
      <c r="H37" s="358" t="s">
        <v>190</v>
      </c>
      <c r="I37" s="678">
        <v>199</v>
      </c>
      <c r="J37"/>
    </row>
    <row r="38" spans="1:10" x14ac:dyDescent="0.25">
      <c r="A38" s="120"/>
      <c r="B38" s="148" t="s">
        <v>1191</v>
      </c>
      <c r="C38" s="148" t="s">
        <v>1188</v>
      </c>
      <c r="D38" s="122">
        <v>0.53333333333333333</v>
      </c>
      <c r="H38" s="471" t="s">
        <v>202</v>
      </c>
      <c r="I38" s="678">
        <v>265</v>
      </c>
      <c r="J38"/>
    </row>
    <row r="39" spans="1:10" x14ac:dyDescent="0.25">
      <c r="A39" s="119" t="s">
        <v>146</v>
      </c>
      <c r="B39" s="119" t="s">
        <v>148</v>
      </c>
      <c r="C39" s="120" t="s">
        <v>149</v>
      </c>
      <c r="D39" s="194">
        <v>0.41269841269841268</v>
      </c>
      <c r="H39" s="471" t="s">
        <v>209</v>
      </c>
      <c r="I39" s="678">
        <v>387</v>
      </c>
      <c r="J39"/>
    </row>
    <row r="40" spans="1:10" x14ac:dyDescent="0.25">
      <c r="A40" s="119"/>
      <c r="B40" s="119" t="s">
        <v>381</v>
      </c>
      <c r="C40" s="120" t="s">
        <v>367</v>
      </c>
      <c r="D40" s="194">
        <v>1</v>
      </c>
      <c r="H40" s="358" t="s">
        <v>213</v>
      </c>
      <c r="I40" s="678">
        <v>44</v>
      </c>
      <c r="J40"/>
    </row>
    <row r="41" spans="1:10" x14ac:dyDescent="0.25">
      <c r="A41" s="119"/>
      <c r="B41" s="119" t="s">
        <v>382</v>
      </c>
      <c r="C41" s="120" t="s">
        <v>368</v>
      </c>
      <c r="D41" s="194">
        <v>1</v>
      </c>
      <c r="H41" s="358" t="s">
        <v>215</v>
      </c>
      <c r="I41" s="678">
        <v>356</v>
      </c>
      <c r="J41"/>
    </row>
    <row r="42" spans="1:10" x14ac:dyDescent="0.25">
      <c r="A42" s="119"/>
      <c r="B42" s="119" t="s">
        <v>383</v>
      </c>
      <c r="C42" s="120" t="s">
        <v>366</v>
      </c>
      <c r="D42" s="194">
        <v>0.92647058823529416</v>
      </c>
      <c r="H42" s="358" t="s">
        <v>229</v>
      </c>
      <c r="I42" s="678">
        <v>49</v>
      </c>
      <c r="J42"/>
    </row>
    <row r="43" spans="1:10" x14ac:dyDescent="0.25">
      <c r="A43" s="119"/>
      <c r="B43" s="119" t="s">
        <v>385</v>
      </c>
      <c r="C43" s="120" t="s">
        <v>371</v>
      </c>
      <c r="D43" s="194">
        <v>0.543010752688172</v>
      </c>
      <c r="H43" s="471" t="s">
        <v>219</v>
      </c>
      <c r="I43" s="678">
        <v>651</v>
      </c>
      <c r="J43"/>
    </row>
    <row r="44" spans="1:10" x14ac:dyDescent="0.25">
      <c r="A44" s="119"/>
      <c r="B44" s="120" t="s">
        <v>147</v>
      </c>
      <c r="C44" s="120" t="s">
        <v>369</v>
      </c>
      <c r="D44" s="195">
        <v>0.10869565217391304</v>
      </c>
      <c r="H44" s="358" t="s">
        <v>225</v>
      </c>
      <c r="I44" s="678">
        <v>41</v>
      </c>
      <c r="J44"/>
    </row>
    <row r="45" spans="1:10" x14ac:dyDescent="0.25">
      <c r="A45" s="120"/>
      <c r="B45" s="148" t="s">
        <v>950</v>
      </c>
      <c r="C45" s="148" t="s">
        <v>951</v>
      </c>
      <c r="D45" s="122">
        <v>0</v>
      </c>
      <c r="H45" s="185" t="s">
        <v>151</v>
      </c>
      <c r="I45" s="678">
        <v>2755</v>
      </c>
      <c r="J45"/>
    </row>
    <row r="46" spans="1:10" x14ac:dyDescent="0.25">
      <c r="A46" s="119" t="s">
        <v>151</v>
      </c>
      <c r="B46" s="119" t="s">
        <v>150</v>
      </c>
      <c r="C46" s="120" t="s">
        <v>152</v>
      </c>
      <c r="D46" s="194">
        <v>0.54123711340206193</v>
      </c>
      <c r="H46" s="358" t="s">
        <v>188</v>
      </c>
      <c r="I46" s="678">
        <v>386</v>
      </c>
      <c r="J46"/>
    </row>
    <row r="47" spans="1:10" x14ac:dyDescent="0.25">
      <c r="A47" s="119"/>
      <c r="B47" s="119" t="s">
        <v>197</v>
      </c>
      <c r="C47" s="120" t="s">
        <v>198</v>
      </c>
      <c r="D47" s="194">
        <v>0.97623400365630708</v>
      </c>
      <c r="H47" s="358" t="s">
        <v>12</v>
      </c>
      <c r="I47" s="678">
        <v>73</v>
      </c>
      <c r="J47"/>
    </row>
    <row r="48" spans="1:10" x14ac:dyDescent="0.25">
      <c r="A48" s="119"/>
      <c r="B48" s="119" t="s">
        <v>153</v>
      </c>
      <c r="C48" s="120" t="s">
        <v>154</v>
      </c>
      <c r="D48" s="194">
        <v>0.44543429844097998</v>
      </c>
      <c r="H48" s="471" t="s">
        <v>198</v>
      </c>
      <c r="I48" s="678">
        <v>548</v>
      </c>
      <c r="J48"/>
    </row>
    <row r="49" spans="1:10" x14ac:dyDescent="0.25">
      <c r="A49" s="119"/>
      <c r="B49" s="119" t="s">
        <v>159</v>
      </c>
      <c r="C49" s="120" t="s">
        <v>160</v>
      </c>
      <c r="D49" s="194">
        <v>0.75510204081632648</v>
      </c>
      <c r="H49" s="358" t="s">
        <v>813</v>
      </c>
      <c r="I49" s="678">
        <v>405</v>
      </c>
      <c r="J49"/>
    </row>
    <row r="50" spans="1:10" x14ac:dyDescent="0.25">
      <c r="A50" s="119"/>
      <c r="B50" s="119" t="s">
        <v>814</v>
      </c>
      <c r="C50" s="120" t="s">
        <v>813</v>
      </c>
      <c r="D50" s="194">
        <v>0.76674937965260548</v>
      </c>
      <c r="H50" s="358" t="s">
        <v>851</v>
      </c>
      <c r="I50" s="678">
        <v>173</v>
      </c>
      <c r="J50"/>
    </row>
    <row r="51" spans="1:10" x14ac:dyDescent="0.25">
      <c r="A51" s="119"/>
      <c r="B51" s="119" t="s">
        <v>187</v>
      </c>
      <c r="C51" s="120" t="s">
        <v>188</v>
      </c>
      <c r="D51" s="194">
        <v>0.49222797927461137</v>
      </c>
      <c r="H51" s="358" t="s">
        <v>160</v>
      </c>
      <c r="I51" s="678">
        <v>109</v>
      </c>
      <c r="J51"/>
    </row>
    <row r="52" spans="1:10" x14ac:dyDescent="0.25">
      <c r="A52" s="119"/>
      <c r="B52" s="120" t="s">
        <v>850</v>
      </c>
      <c r="C52" s="120" t="s">
        <v>851</v>
      </c>
      <c r="D52" s="195">
        <v>0.28735632183908044</v>
      </c>
      <c r="H52" s="471" t="s">
        <v>946</v>
      </c>
      <c r="I52" s="678">
        <v>115</v>
      </c>
      <c r="J52"/>
    </row>
    <row r="53" spans="1:10" x14ac:dyDescent="0.25">
      <c r="A53" s="120"/>
      <c r="B53" s="148" t="s">
        <v>947</v>
      </c>
      <c r="C53" s="148" t="s">
        <v>946</v>
      </c>
      <c r="D53" s="122">
        <v>0</v>
      </c>
      <c r="H53" s="471" t="s">
        <v>154</v>
      </c>
      <c r="I53" s="678">
        <v>441</v>
      </c>
      <c r="J53"/>
    </row>
    <row r="54" spans="1:10" x14ac:dyDescent="0.25">
      <c r="A54" s="119" t="s">
        <v>166</v>
      </c>
      <c r="B54" s="119" t="s">
        <v>165</v>
      </c>
      <c r="C54" s="120" t="s">
        <v>167</v>
      </c>
      <c r="D54" s="194">
        <v>1.1428571428571428</v>
      </c>
      <c r="H54" s="471" t="s">
        <v>915</v>
      </c>
      <c r="I54" s="678">
        <v>143</v>
      </c>
      <c r="J54"/>
    </row>
    <row r="55" spans="1:10" x14ac:dyDescent="0.25">
      <c r="A55" s="120"/>
      <c r="B55" s="120" t="s">
        <v>763</v>
      </c>
      <c r="C55" s="120" t="s">
        <v>762</v>
      </c>
      <c r="D55" s="195">
        <v>1</v>
      </c>
      <c r="H55" s="358" t="s">
        <v>156</v>
      </c>
      <c r="I55" s="678">
        <v>175</v>
      </c>
      <c r="J55"/>
    </row>
    <row r="56" spans="1:10" x14ac:dyDescent="0.25">
      <c r="A56" s="119" t="s">
        <v>173</v>
      </c>
      <c r="B56" s="119" t="s">
        <v>175</v>
      </c>
      <c r="C56" s="120" t="s">
        <v>176</v>
      </c>
      <c r="D56" s="194">
        <v>0.66666666666666663</v>
      </c>
      <c r="H56" s="358" t="s">
        <v>152</v>
      </c>
      <c r="I56" s="678">
        <v>187</v>
      </c>
      <c r="J56"/>
    </row>
    <row r="57" spans="1:10" x14ac:dyDescent="0.25">
      <c r="A57" s="119"/>
      <c r="B57" s="119" t="s">
        <v>172</v>
      </c>
      <c r="C57" s="120" t="s">
        <v>174</v>
      </c>
      <c r="D57" s="194">
        <v>1</v>
      </c>
      <c r="H57" s="185" t="s">
        <v>5</v>
      </c>
      <c r="I57" s="678">
        <v>1484</v>
      </c>
      <c r="J57"/>
    </row>
    <row r="58" spans="1:10" x14ac:dyDescent="0.25">
      <c r="A58" s="119"/>
      <c r="B58" s="120" t="s">
        <v>177</v>
      </c>
      <c r="C58" s="120" t="s">
        <v>178</v>
      </c>
      <c r="D58" s="195">
        <v>1</v>
      </c>
      <c r="H58" s="471" t="s">
        <v>6</v>
      </c>
      <c r="I58" s="678">
        <v>257</v>
      </c>
      <c r="J58"/>
    </row>
    <row r="59" spans="1:10" x14ac:dyDescent="0.25">
      <c r="A59" s="120"/>
      <c r="B59" s="148" t="s">
        <v>1074</v>
      </c>
      <c r="C59" s="148" t="s">
        <v>1080</v>
      </c>
      <c r="D59" s="122">
        <v>1</v>
      </c>
      <c r="H59" s="358" t="s">
        <v>466</v>
      </c>
      <c r="I59" s="678">
        <v>12</v>
      </c>
      <c r="J59"/>
    </row>
    <row r="60" spans="1:10" x14ac:dyDescent="0.25">
      <c r="A60" s="119" t="s">
        <v>180</v>
      </c>
      <c r="B60" s="119" t="s">
        <v>179</v>
      </c>
      <c r="C60" s="120" t="s">
        <v>181</v>
      </c>
      <c r="D60" s="194">
        <v>1</v>
      </c>
      <c r="H60" s="358" t="s">
        <v>12</v>
      </c>
      <c r="I60" s="678">
        <v>197</v>
      </c>
      <c r="J60"/>
    </row>
    <row r="61" spans="1:10" x14ac:dyDescent="0.25">
      <c r="A61" s="120"/>
      <c r="B61" s="120" t="s">
        <v>285</v>
      </c>
      <c r="C61" s="120" t="s">
        <v>286</v>
      </c>
      <c r="D61" s="195">
        <v>1.5263157894736841</v>
      </c>
      <c r="H61" s="358" t="s">
        <v>14</v>
      </c>
      <c r="I61" s="678">
        <v>39</v>
      </c>
      <c r="J61"/>
    </row>
    <row r="62" spans="1:10" x14ac:dyDescent="0.25">
      <c r="A62" s="119" t="s">
        <v>185</v>
      </c>
      <c r="B62" s="119" t="s">
        <v>208</v>
      </c>
      <c r="C62" s="120" t="s">
        <v>209</v>
      </c>
      <c r="D62" s="194">
        <v>0.71317829457364335</v>
      </c>
      <c r="H62" s="358" t="s">
        <v>18</v>
      </c>
      <c r="I62" s="678">
        <v>129</v>
      </c>
      <c r="J62"/>
    </row>
    <row r="63" spans="1:10" x14ac:dyDescent="0.25">
      <c r="A63" s="119"/>
      <c r="B63" s="119" t="s">
        <v>201</v>
      </c>
      <c r="C63" s="120" t="s">
        <v>202</v>
      </c>
      <c r="D63" s="194">
        <v>0.57735849056603772</v>
      </c>
      <c r="H63" s="358" t="s">
        <v>8</v>
      </c>
      <c r="I63" s="678">
        <v>13</v>
      </c>
      <c r="J63"/>
    </row>
    <row r="64" spans="1:10" x14ac:dyDescent="0.25">
      <c r="A64" s="119"/>
      <c r="B64" s="119" t="s">
        <v>222</v>
      </c>
      <c r="C64" s="120" t="s">
        <v>223</v>
      </c>
      <c r="D64" s="194">
        <v>0.65048543689320382</v>
      </c>
      <c r="H64" s="358" t="s">
        <v>20</v>
      </c>
      <c r="I64" s="678">
        <v>21</v>
      </c>
      <c r="J64"/>
    </row>
    <row r="65" spans="1:10" x14ac:dyDescent="0.25">
      <c r="A65" s="119"/>
      <c r="B65" s="119" t="s">
        <v>189</v>
      </c>
      <c r="C65" s="120" t="s">
        <v>190</v>
      </c>
      <c r="D65" s="194">
        <v>0.42268041237113402</v>
      </c>
      <c r="H65" s="358" t="s">
        <v>364</v>
      </c>
      <c r="I65" s="678">
        <v>144</v>
      </c>
      <c r="J65"/>
    </row>
    <row r="66" spans="1:10" x14ac:dyDescent="0.25">
      <c r="A66" s="119"/>
      <c r="B66" s="119" t="s">
        <v>184</v>
      </c>
      <c r="C66" s="120" t="s">
        <v>186</v>
      </c>
      <c r="D66" s="194">
        <v>1</v>
      </c>
      <c r="H66" s="471" t="s">
        <v>22</v>
      </c>
      <c r="I66" s="678">
        <v>638</v>
      </c>
      <c r="J66"/>
    </row>
    <row r="67" spans="1:10" x14ac:dyDescent="0.25">
      <c r="A67" s="119"/>
      <c r="B67" s="119" t="s">
        <v>228</v>
      </c>
      <c r="C67" s="120" t="s">
        <v>229</v>
      </c>
      <c r="D67" s="194">
        <v>0.91836734693877553</v>
      </c>
      <c r="H67" s="358" t="s">
        <v>24</v>
      </c>
      <c r="I67" s="678">
        <v>20</v>
      </c>
      <c r="J67"/>
    </row>
    <row r="68" spans="1:10" x14ac:dyDescent="0.25">
      <c r="A68" s="119"/>
      <c r="B68" s="119" t="s">
        <v>224</v>
      </c>
      <c r="C68" s="120" t="s">
        <v>225</v>
      </c>
      <c r="D68" s="194">
        <v>0.97560975609756095</v>
      </c>
      <c r="H68" s="358" t="s">
        <v>26</v>
      </c>
      <c r="I68" s="678">
        <v>14</v>
      </c>
      <c r="J68"/>
    </row>
    <row r="69" spans="1:10" x14ac:dyDescent="0.25">
      <c r="A69" s="119"/>
      <c r="B69" s="119" t="s">
        <v>195</v>
      </c>
      <c r="C69" s="120" t="s">
        <v>196</v>
      </c>
      <c r="D69" s="194">
        <v>0.77296248382923671</v>
      </c>
      <c r="H69" s="185" t="s">
        <v>237</v>
      </c>
      <c r="I69" s="678">
        <v>1471</v>
      </c>
      <c r="J69"/>
    </row>
    <row r="70" spans="1:10" x14ac:dyDescent="0.25">
      <c r="A70" s="119"/>
      <c r="B70" s="119" t="s">
        <v>193</v>
      </c>
      <c r="C70" s="120" t="s">
        <v>194</v>
      </c>
      <c r="D70" s="194">
        <v>0.8607242339832869</v>
      </c>
      <c r="H70" s="358" t="s">
        <v>252</v>
      </c>
      <c r="I70" s="678">
        <v>199</v>
      </c>
      <c r="J70"/>
    </row>
    <row r="71" spans="1:10" x14ac:dyDescent="0.25">
      <c r="A71" s="119"/>
      <c r="B71" s="119" t="s">
        <v>191</v>
      </c>
      <c r="C71" s="120" t="s">
        <v>192</v>
      </c>
      <c r="D71" s="194">
        <v>1.796116504854369</v>
      </c>
      <c r="H71" s="358" t="s">
        <v>254</v>
      </c>
      <c r="I71" s="678">
        <v>88</v>
      </c>
      <c r="J71"/>
    </row>
    <row r="72" spans="1:10" x14ac:dyDescent="0.25">
      <c r="A72" s="119"/>
      <c r="B72" s="119" t="s">
        <v>218</v>
      </c>
      <c r="C72" s="120" t="s">
        <v>219</v>
      </c>
      <c r="D72" s="194">
        <v>1.2010050251256281</v>
      </c>
      <c r="H72" s="358" t="s">
        <v>256</v>
      </c>
      <c r="I72" s="678">
        <v>43</v>
      </c>
      <c r="J72"/>
    </row>
    <row r="73" spans="1:10" x14ac:dyDescent="0.25">
      <c r="A73" s="120"/>
      <c r="B73" s="120" t="s">
        <v>214</v>
      </c>
      <c r="C73" s="120" t="s">
        <v>215</v>
      </c>
      <c r="D73" s="195">
        <v>1.7318435754189945</v>
      </c>
      <c r="H73" s="358" t="s">
        <v>240</v>
      </c>
      <c r="I73" s="678">
        <v>105</v>
      </c>
      <c r="J73"/>
    </row>
    <row r="74" spans="1:10" x14ac:dyDescent="0.25">
      <c r="A74" s="119" t="s">
        <v>230</v>
      </c>
      <c r="B74" s="119" t="s">
        <v>908</v>
      </c>
      <c r="C74" s="120" t="s">
        <v>907</v>
      </c>
      <c r="D74" s="194">
        <v>1</v>
      </c>
      <c r="H74" s="358" t="s">
        <v>284</v>
      </c>
      <c r="I74" s="678">
        <v>139</v>
      </c>
      <c r="J74"/>
    </row>
    <row r="75" spans="1:10" x14ac:dyDescent="0.25">
      <c r="A75" s="119"/>
      <c r="B75" s="120" t="s">
        <v>918</v>
      </c>
      <c r="C75" s="120" t="s">
        <v>917</v>
      </c>
      <c r="D75" s="195">
        <v>1.2000000000000002</v>
      </c>
      <c r="H75" s="358" t="s">
        <v>258</v>
      </c>
      <c r="I75" s="678">
        <v>75</v>
      </c>
      <c r="J75"/>
    </row>
    <row r="76" spans="1:10" x14ac:dyDescent="0.25">
      <c r="A76" s="120"/>
      <c r="B76" s="148" t="s">
        <v>773</v>
      </c>
      <c r="C76" s="148" t="s">
        <v>359</v>
      </c>
      <c r="D76" s="122">
        <v>1</v>
      </c>
      <c r="H76" s="358" t="s">
        <v>260</v>
      </c>
      <c r="I76" s="678">
        <v>103</v>
      </c>
      <c r="J76"/>
    </row>
    <row r="77" spans="1:10" x14ac:dyDescent="0.25">
      <c r="A77" s="119" t="s">
        <v>237</v>
      </c>
      <c r="B77" s="119" t="s">
        <v>870</v>
      </c>
      <c r="C77" s="119" t="s">
        <v>825</v>
      </c>
      <c r="D77" s="194">
        <v>0</v>
      </c>
      <c r="H77" s="358" t="s">
        <v>262</v>
      </c>
      <c r="I77" s="678">
        <v>24</v>
      </c>
      <c r="J77"/>
    </row>
    <row r="78" spans="1:10" x14ac:dyDescent="0.25">
      <c r="A78" s="119"/>
      <c r="B78" s="119"/>
      <c r="C78" s="120" t="s">
        <v>789</v>
      </c>
      <c r="D78" s="194">
        <v>0</v>
      </c>
      <c r="H78" s="358" t="s">
        <v>264</v>
      </c>
      <c r="I78" s="678">
        <v>14</v>
      </c>
      <c r="J78"/>
    </row>
    <row r="79" spans="1:10" x14ac:dyDescent="0.25">
      <c r="A79" s="119"/>
      <c r="B79" s="119" t="s">
        <v>236</v>
      </c>
      <c r="C79" s="120" t="s">
        <v>238</v>
      </c>
      <c r="D79" s="194">
        <v>0.90909090909090906</v>
      </c>
      <c r="H79" s="358" t="s">
        <v>270</v>
      </c>
      <c r="I79" s="678">
        <v>63</v>
      </c>
      <c r="J79"/>
    </row>
    <row r="80" spans="1:10" x14ac:dyDescent="0.25">
      <c r="A80" s="119"/>
      <c r="B80" s="119" t="s">
        <v>267</v>
      </c>
      <c r="C80" s="120" t="s">
        <v>268</v>
      </c>
      <c r="D80" s="194">
        <v>1.1846153846153846</v>
      </c>
      <c r="H80" s="358" t="s">
        <v>268</v>
      </c>
      <c r="I80" s="678">
        <v>67</v>
      </c>
      <c r="J80"/>
    </row>
    <row r="81" spans="1:10" x14ac:dyDescent="0.25">
      <c r="A81" s="119"/>
      <c r="B81" s="119" t="s">
        <v>249</v>
      </c>
      <c r="C81" s="120" t="s">
        <v>250</v>
      </c>
      <c r="D81" s="194">
        <v>0.64516129032258063</v>
      </c>
      <c r="H81" s="358" t="s">
        <v>272</v>
      </c>
      <c r="I81" s="678">
        <v>46</v>
      </c>
      <c r="J81"/>
    </row>
    <row r="82" spans="1:10" x14ac:dyDescent="0.25">
      <c r="A82" s="119"/>
      <c r="B82" s="119" t="s">
        <v>247</v>
      </c>
      <c r="C82" s="120" t="s">
        <v>248</v>
      </c>
      <c r="D82" s="194">
        <v>2</v>
      </c>
      <c r="H82" s="358" t="s">
        <v>276</v>
      </c>
      <c r="I82" s="678">
        <v>121</v>
      </c>
      <c r="J82"/>
    </row>
    <row r="83" spans="1:10" x14ac:dyDescent="0.25">
      <c r="A83" s="119"/>
      <c r="B83" s="119" t="s">
        <v>273</v>
      </c>
      <c r="C83" s="120" t="s">
        <v>274</v>
      </c>
      <c r="D83" s="194">
        <v>0.69565217391304346</v>
      </c>
      <c r="H83" s="358" t="s">
        <v>278</v>
      </c>
      <c r="I83" s="678">
        <v>23</v>
      </c>
      <c r="J83"/>
    </row>
    <row r="84" spans="1:10" x14ac:dyDescent="0.25">
      <c r="A84" s="119"/>
      <c r="B84" s="119" t="s">
        <v>275</v>
      </c>
      <c r="C84" s="120" t="s">
        <v>276</v>
      </c>
      <c r="D84" s="194">
        <v>0.5423728813559322</v>
      </c>
      <c r="H84" s="358" t="s">
        <v>280</v>
      </c>
      <c r="I84" s="678">
        <v>91</v>
      </c>
      <c r="J84"/>
    </row>
    <row r="85" spans="1:10" x14ac:dyDescent="0.25">
      <c r="A85" s="119"/>
      <c r="B85" s="119" t="s">
        <v>259</v>
      </c>
      <c r="C85" s="120" t="s">
        <v>260</v>
      </c>
      <c r="D85" s="194">
        <v>0.76923076923076916</v>
      </c>
      <c r="H85" s="358" t="s">
        <v>238</v>
      </c>
      <c r="I85" s="678">
        <v>69</v>
      </c>
      <c r="J85"/>
    </row>
    <row r="86" spans="1:10" x14ac:dyDescent="0.25">
      <c r="A86" s="119"/>
      <c r="B86" s="119" t="s">
        <v>279</v>
      </c>
      <c r="C86" s="120" t="s">
        <v>280</v>
      </c>
      <c r="D86" s="194">
        <v>0.54347826086956519</v>
      </c>
      <c r="H86" s="358" t="s">
        <v>248</v>
      </c>
      <c r="I86" s="678">
        <v>6</v>
      </c>
      <c r="J86"/>
    </row>
    <row r="87" spans="1:10" x14ac:dyDescent="0.25">
      <c r="A87" s="119"/>
      <c r="B87" s="119" t="s">
        <v>245</v>
      </c>
      <c r="C87" s="120" t="s">
        <v>246</v>
      </c>
      <c r="D87" s="194">
        <v>9.6774193548387094E-2</v>
      </c>
      <c r="H87" s="358" t="s">
        <v>250</v>
      </c>
      <c r="I87" s="678">
        <v>30</v>
      </c>
      <c r="J87"/>
    </row>
    <row r="88" spans="1:10" x14ac:dyDescent="0.25">
      <c r="A88" s="119"/>
      <c r="B88" s="119" t="s">
        <v>242</v>
      </c>
      <c r="C88" s="120" t="s">
        <v>243</v>
      </c>
      <c r="D88" s="194">
        <v>0.5</v>
      </c>
      <c r="H88" s="358" t="s">
        <v>274</v>
      </c>
      <c r="I88" s="678">
        <v>46</v>
      </c>
      <c r="J88"/>
    </row>
    <row r="89" spans="1:10" x14ac:dyDescent="0.25">
      <c r="A89" s="119"/>
      <c r="B89" s="119" t="s">
        <v>255</v>
      </c>
      <c r="C89" s="120" t="s">
        <v>256</v>
      </c>
      <c r="D89" s="194">
        <v>0.11904761904761904</v>
      </c>
      <c r="H89" s="358" t="s">
        <v>1049</v>
      </c>
      <c r="I89" s="678">
        <v>54</v>
      </c>
      <c r="J89"/>
    </row>
    <row r="90" spans="1:10" x14ac:dyDescent="0.25">
      <c r="A90" s="119"/>
      <c r="B90" s="119" t="s">
        <v>283</v>
      </c>
      <c r="C90" s="120" t="s">
        <v>284</v>
      </c>
      <c r="D90" s="194">
        <v>0.89928057553956831</v>
      </c>
      <c r="H90" s="358" t="s">
        <v>1719</v>
      </c>
      <c r="I90" s="678">
        <v>42</v>
      </c>
      <c r="J90"/>
    </row>
    <row r="91" spans="1:10" x14ac:dyDescent="0.25">
      <c r="A91" s="119"/>
      <c r="B91" s="119" t="s">
        <v>239</v>
      </c>
      <c r="C91" s="120" t="s">
        <v>240</v>
      </c>
      <c r="D91" s="194">
        <v>0.22857142857142856</v>
      </c>
      <c r="H91" s="358" t="s">
        <v>1727</v>
      </c>
      <c r="I91" s="678">
        <v>23</v>
      </c>
      <c r="J91"/>
    </row>
    <row r="92" spans="1:10" x14ac:dyDescent="0.25">
      <c r="A92" s="119"/>
      <c r="B92" s="119" t="s">
        <v>257</v>
      </c>
      <c r="C92" s="120" t="s">
        <v>258</v>
      </c>
      <c r="D92" s="194">
        <v>0.32258064516129031</v>
      </c>
      <c r="H92" s="185" t="s">
        <v>146</v>
      </c>
      <c r="I92" s="678">
        <v>875</v>
      </c>
      <c r="J92"/>
    </row>
    <row r="93" spans="1:10" x14ac:dyDescent="0.25">
      <c r="A93" s="119"/>
      <c r="B93" s="119" t="s">
        <v>251</v>
      </c>
      <c r="C93" s="120" t="s">
        <v>252</v>
      </c>
      <c r="D93" s="194">
        <v>0.79999999999999993</v>
      </c>
      <c r="H93" s="358" t="s">
        <v>367</v>
      </c>
      <c r="I93" s="678">
        <v>58</v>
      </c>
      <c r="J93"/>
    </row>
    <row r="94" spans="1:10" x14ac:dyDescent="0.25">
      <c r="A94" s="119"/>
      <c r="B94" s="119" t="s">
        <v>253</v>
      </c>
      <c r="C94" s="120" t="s">
        <v>254</v>
      </c>
      <c r="D94" s="194">
        <v>0.65573770491803274</v>
      </c>
      <c r="H94" s="358" t="s">
        <v>368</v>
      </c>
      <c r="I94" s="678">
        <v>29</v>
      </c>
      <c r="J94"/>
    </row>
    <row r="95" spans="1:10" x14ac:dyDescent="0.25">
      <c r="A95" s="119"/>
      <c r="B95" s="119" t="s">
        <v>261</v>
      </c>
      <c r="C95" s="120" t="s">
        <v>262</v>
      </c>
      <c r="D95" s="194">
        <v>1.2173913043478262</v>
      </c>
      <c r="H95" s="358" t="s">
        <v>366</v>
      </c>
      <c r="I95" s="678">
        <v>68</v>
      </c>
      <c r="J95"/>
    </row>
    <row r="96" spans="1:10" x14ac:dyDescent="0.25">
      <c r="A96" s="119"/>
      <c r="B96" s="119" t="s">
        <v>263</v>
      </c>
      <c r="C96" s="120" t="s">
        <v>264</v>
      </c>
      <c r="D96" s="194">
        <v>1.2666666666666666</v>
      </c>
      <c r="H96" s="358" t="s">
        <v>369</v>
      </c>
      <c r="I96" s="678">
        <v>46</v>
      </c>
      <c r="J96"/>
    </row>
    <row r="97" spans="1:10" x14ac:dyDescent="0.25">
      <c r="A97" s="119"/>
      <c r="B97" s="119" t="s">
        <v>281</v>
      </c>
      <c r="C97" s="120" t="s">
        <v>282</v>
      </c>
      <c r="D97" s="194">
        <v>1</v>
      </c>
      <c r="H97" s="358" t="s">
        <v>951</v>
      </c>
      <c r="I97" s="678">
        <v>22</v>
      </c>
      <c r="J97"/>
    </row>
    <row r="98" spans="1:10" x14ac:dyDescent="0.25">
      <c r="A98" s="119"/>
      <c r="B98" s="119" t="s">
        <v>269</v>
      </c>
      <c r="C98" s="120" t="s">
        <v>270</v>
      </c>
      <c r="D98" s="194">
        <v>1.0634920634920635</v>
      </c>
      <c r="H98" s="358" t="s">
        <v>149</v>
      </c>
      <c r="I98" s="678">
        <v>57</v>
      </c>
      <c r="J98"/>
    </row>
    <row r="99" spans="1:10" x14ac:dyDescent="0.25">
      <c r="A99" s="119"/>
      <c r="B99" s="119" t="s">
        <v>271</v>
      </c>
      <c r="C99" s="120" t="s">
        <v>272</v>
      </c>
      <c r="D99" s="194">
        <v>0.97959183673469385</v>
      </c>
      <c r="H99" s="358" t="s">
        <v>371</v>
      </c>
      <c r="I99" s="678">
        <v>187</v>
      </c>
      <c r="J99"/>
    </row>
    <row r="100" spans="1:10" x14ac:dyDescent="0.25">
      <c r="A100" s="120"/>
      <c r="B100" s="120" t="s">
        <v>241</v>
      </c>
      <c r="C100" s="120" t="s">
        <v>1049</v>
      </c>
      <c r="D100" s="195">
        <v>2.3518518518518521</v>
      </c>
      <c r="H100" s="358" t="s">
        <v>1100</v>
      </c>
      <c r="I100" s="678">
        <v>105</v>
      </c>
      <c r="J100"/>
    </row>
    <row r="101" spans="1:10" x14ac:dyDescent="0.25">
      <c r="A101" s="119" t="s">
        <v>288</v>
      </c>
      <c r="B101" s="119" t="s">
        <v>287</v>
      </c>
      <c r="C101" s="120" t="s">
        <v>289</v>
      </c>
      <c r="D101" s="194">
        <v>0.44776119402985076</v>
      </c>
      <c r="H101" s="358" t="s">
        <v>1157</v>
      </c>
      <c r="I101" s="678">
        <v>139</v>
      </c>
      <c r="J101"/>
    </row>
    <row r="102" spans="1:10" x14ac:dyDescent="0.25">
      <c r="A102" s="119"/>
      <c r="B102" s="119" t="s">
        <v>290</v>
      </c>
      <c r="C102" s="120" t="s">
        <v>291</v>
      </c>
      <c r="D102" s="194">
        <v>1.2702702702702702</v>
      </c>
      <c r="H102" s="358" t="s">
        <v>1160</v>
      </c>
      <c r="I102" s="678">
        <v>37</v>
      </c>
      <c r="J102"/>
    </row>
    <row r="103" spans="1:10" x14ac:dyDescent="0.25">
      <c r="A103" s="119"/>
      <c r="B103" s="119" t="s">
        <v>910</v>
      </c>
      <c r="C103" s="120" t="s">
        <v>909</v>
      </c>
      <c r="D103" s="194">
        <v>1.0277777777777777</v>
      </c>
      <c r="H103" s="358" t="s">
        <v>1175</v>
      </c>
      <c r="I103" s="678">
        <v>30</v>
      </c>
      <c r="J103"/>
    </row>
    <row r="104" spans="1:10" x14ac:dyDescent="0.25">
      <c r="A104" s="119"/>
      <c r="B104" s="120" t="s">
        <v>914</v>
      </c>
      <c r="C104" s="120" t="s">
        <v>921</v>
      </c>
      <c r="D104" s="195">
        <v>0.6</v>
      </c>
      <c r="H104" s="358" t="s">
        <v>1263</v>
      </c>
      <c r="I104" s="678">
        <v>36</v>
      </c>
      <c r="J104"/>
    </row>
    <row r="105" spans="1:10" x14ac:dyDescent="0.25">
      <c r="A105" s="120"/>
      <c r="B105" s="148" t="s">
        <v>294</v>
      </c>
      <c r="C105" s="148" t="s">
        <v>372</v>
      </c>
      <c r="D105" s="122">
        <v>0</v>
      </c>
      <c r="H105" s="358" t="s">
        <v>1273</v>
      </c>
      <c r="I105" s="678">
        <v>24</v>
      </c>
      <c r="J105"/>
    </row>
    <row r="106" spans="1:10" x14ac:dyDescent="0.25">
      <c r="A106" s="120" t="s">
        <v>297</v>
      </c>
      <c r="B106" s="120" t="s">
        <v>296</v>
      </c>
      <c r="C106" s="120" t="s">
        <v>761</v>
      </c>
      <c r="D106" s="195">
        <v>0.22727272727272727</v>
      </c>
      <c r="H106" s="358" t="s">
        <v>1755</v>
      </c>
      <c r="I106" s="678">
        <v>37</v>
      </c>
      <c r="J106"/>
    </row>
    <row r="107" spans="1:10" x14ac:dyDescent="0.25">
      <c r="A107" s="119" t="s">
        <v>301</v>
      </c>
      <c r="B107" s="119" t="s">
        <v>304</v>
      </c>
      <c r="C107" s="120" t="s">
        <v>305</v>
      </c>
      <c r="D107" s="194">
        <v>0.48837209302325579</v>
      </c>
      <c r="H107" s="185" t="s">
        <v>481</v>
      </c>
      <c r="I107" s="678">
        <v>716</v>
      </c>
      <c r="J107"/>
    </row>
    <row r="108" spans="1:10" x14ac:dyDescent="0.25">
      <c r="A108" s="120"/>
      <c r="B108" s="120" t="s">
        <v>306</v>
      </c>
      <c r="C108" s="120" t="s">
        <v>307</v>
      </c>
      <c r="D108" s="195">
        <v>1.0697674418604652</v>
      </c>
      <c r="H108" s="358" t="s">
        <v>120</v>
      </c>
      <c r="I108" s="678">
        <v>70</v>
      </c>
      <c r="J108"/>
    </row>
    <row r="109" spans="1:10" x14ac:dyDescent="0.25">
      <c r="A109" s="119" t="s">
        <v>309</v>
      </c>
      <c r="B109" s="119" t="s">
        <v>339</v>
      </c>
      <c r="C109" s="120" t="s">
        <v>340</v>
      </c>
      <c r="D109" s="194">
        <v>0.58461538461538465</v>
      </c>
      <c r="H109" s="358" t="s">
        <v>41</v>
      </c>
      <c r="I109" s="678">
        <v>65</v>
      </c>
      <c r="J109"/>
    </row>
    <row r="110" spans="1:10" x14ac:dyDescent="0.25">
      <c r="A110" s="119"/>
      <c r="B110" s="119" t="s">
        <v>348</v>
      </c>
      <c r="C110" s="120" t="s">
        <v>349</v>
      </c>
      <c r="D110" s="194">
        <v>1</v>
      </c>
      <c r="H110" s="358" t="s">
        <v>43</v>
      </c>
      <c r="I110" s="678">
        <v>14</v>
      </c>
      <c r="J110"/>
    </row>
    <row r="111" spans="1:10" x14ac:dyDescent="0.25">
      <c r="A111" s="119"/>
      <c r="B111" s="119" t="s">
        <v>318</v>
      </c>
      <c r="C111" s="120" t="s">
        <v>319</v>
      </c>
      <c r="D111" s="194">
        <v>0.96666666666666667</v>
      </c>
      <c r="H111" s="358" t="s">
        <v>52</v>
      </c>
      <c r="I111" s="678">
        <v>37</v>
      </c>
      <c r="J111"/>
    </row>
    <row r="112" spans="1:10" x14ac:dyDescent="0.25">
      <c r="A112" s="119"/>
      <c r="B112" s="119" t="s">
        <v>311</v>
      </c>
      <c r="C112" s="120" t="s">
        <v>312</v>
      </c>
      <c r="D112" s="194">
        <v>1.0294117647058822</v>
      </c>
      <c r="H112" s="358" t="s">
        <v>72</v>
      </c>
      <c r="I112" s="678">
        <v>5</v>
      </c>
      <c r="J112"/>
    </row>
    <row r="113" spans="1:10" x14ac:dyDescent="0.25">
      <c r="A113" s="119"/>
      <c r="B113" s="119" t="s">
        <v>328</v>
      </c>
      <c r="C113" s="120" t="s">
        <v>329</v>
      </c>
      <c r="D113" s="194">
        <v>0.9042553191489362</v>
      </c>
      <c r="H113" s="358" t="s">
        <v>76</v>
      </c>
      <c r="I113" s="678">
        <v>70</v>
      </c>
      <c r="J113"/>
    </row>
    <row r="114" spans="1:10" x14ac:dyDescent="0.25">
      <c r="A114" s="119"/>
      <c r="B114" s="119" t="s">
        <v>336</v>
      </c>
      <c r="C114" s="120" t="s">
        <v>337</v>
      </c>
      <c r="D114" s="194">
        <v>1.258064516129032</v>
      </c>
      <c r="H114" s="358" t="s">
        <v>88</v>
      </c>
      <c r="I114" s="678">
        <v>13</v>
      </c>
      <c r="J114"/>
    </row>
    <row r="115" spans="1:10" x14ac:dyDescent="0.25">
      <c r="A115" s="119"/>
      <c r="B115" s="119" t="s">
        <v>326</v>
      </c>
      <c r="C115" s="120" t="s">
        <v>327</v>
      </c>
      <c r="D115" s="194">
        <v>0.37024221453287198</v>
      </c>
      <c r="H115" s="358" t="s">
        <v>44</v>
      </c>
      <c r="I115" s="678">
        <v>4</v>
      </c>
      <c r="J115"/>
    </row>
    <row r="116" spans="1:10" x14ac:dyDescent="0.25">
      <c r="A116" s="119"/>
      <c r="B116" s="119" t="s">
        <v>316</v>
      </c>
      <c r="C116" s="120" t="s">
        <v>317</v>
      </c>
      <c r="D116" s="194">
        <v>1.0090090090090089</v>
      </c>
      <c r="H116" s="358" t="s">
        <v>919</v>
      </c>
      <c r="I116" s="678">
        <v>103</v>
      </c>
      <c r="J116"/>
    </row>
    <row r="117" spans="1:10" x14ac:dyDescent="0.25">
      <c r="A117" s="119"/>
      <c r="B117" s="119" t="s">
        <v>346</v>
      </c>
      <c r="C117" s="120" t="s">
        <v>347</v>
      </c>
      <c r="D117" s="194">
        <v>1.7173913043478262</v>
      </c>
      <c r="H117" s="358" t="s">
        <v>90</v>
      </c>
      <c r="I117" s="678">
        <v>19</v>
      </c>
      <c r="J117"/>
    </row>
    <row r="118" spans="1:10" x14ac:dyDescent="0.25">
      <c r="A118" s="119"/>
      <c r="B118" s="119" t="s">
        <v>314</v>
      </c>
      <c r="C118" s="120" t="s">
        <v>315</v>
      </c>
      <c r="D118" s="194">
        <v>0.84615384615384626</v>
      </c>
      <c r="H118" s="358" t="s">
        <v>92</v>
      </c>
      <c r="I118" s="678">
        <v>12</v>
      </c>
      <c r="J118"/>
    </row>
    <row r="119" spans="1:10" x14ac:dyDescent="0.25">
      <c r="A119" s="119"/>
      <c r="B119" s="119" t="s">
        <v>324</v>
      </c>
      <c r="C119" s="120" t="s">
        <v>325</v>
      </c>
      <c r="D119" s="194">
        <v>0.88888888888888884</v>
      </c>
      <c r="H119" s="358" t="s">
        <v>100</v>
      </c>
      <c r="I119" s="678">
        <v>8</v>
      </c>
      <c r="J119"/>
    </row>
    <row r="120" spans="1:10" x14ac:dyDescent="0.25">
      <c r="A120" s="119"/>
      <c r="B120" s="119" t="s">
        <v>322</v>
      </c>
      <c r="C120" s="120" t="s">
        <v>323</v>
      </c>
      <c r="D120" s="194">
        <v>1.0983935742971889</v>
      </c>
      <c r="H120" s="358" t="s">
        <v>552</v>
      </c>
      <c r="I120" s="678">
        <v>11</v>
      </c>
      <c r="J120"/>
    </row>
    <row r="121" spans="1:10" x14ac:dyDescent="0.25">
      <c r="A121" s="119"/>
      <c r="B121" s="119" t="s">
        <v>344</v>
      </c>
      <c r="C121" s="120" t="s">
        <v>345</v>
      </c>
      <c r="D121" s="194">
        <v>1.4184782608695652</v>
      </c>
      <c r="H121" s="358" t="s">
        <v>108</v>
      </c>
      <c r="I121" s="678">
        <v>53</v>
      </c>
      <c r="J121"/>
    </row>
    <row r="122" spans="1:10" x14ac:dyDescent="0.25">
      <c r="A122" s="119"/>
      <c r="B122" s="119" t="s">
        <v>332</v>
      </c>
      <c r="C122" s="120" t="s">
        <v>333</v>
      </c>
      <c r="D122" s="194">
        <v>1.2302631578947367</v>
      </c>
      <c r="H122" s="358" t="s">
        <v>118</v>
      </c>
      <c r="I122" s="678">
        <v>11</v>
      </c>
      <c r="J122"/>
    </row>
    <row r="123" spans="1:10" x14ac:dyDescent="0.25">
      <c r="A123" s="119"/>
      <c r="B123" s="119" t="s">
        <v>334</v>
      </c>
      <c r="C123" s="120" t="s">
        <v>335</v>
      </c>
      <c r="D123" s="194">
        <v>0.67114093959731547</v>
      </c>
      <c r="H123" s="358" t="s">
        <v>124</v>
      </c>
      <c r="I123" s="678">
        <v>8</v>
      </c>
      <c r="J123"/>
    </row>
    <row r="124" spans="1:10" x14ac:dyDescent="0.25">
      <c r="A124" s="119"/>
      <c r="B124" s="119" t="s">
        <v>350</v>
      </c>
      <c r="C124" s="120" t="s">
        <v>351</v>
      </c>
      <c r="D124" s="194">
        <v>0.11461318051575932</v>
      </c>
      <c r="H124" s="471" t="s">
        <v>126</v>
      </c>
      <c r="I124" s="678">
        <v>32</v>
      </c>
      <c r="J124"/>
    </row>
    <row r="125" spans="1:10" x14ac:dyDescent="0.25">
      <c r="A125" s="119"/>
      <c r="B125" s="119" t="s">
        <v>320</v>
      </c>
      <c r="C125" s="120" t="s">
        <v>321</v>
      </c>
      <c r="D125" s="194">
        <v>1</v>
      </c>
      <c r="H125" s="358" t="s">
        <v>140</v>
      </c>
      <c r="I125" s="678">
        <v>11</v>
      </c>
      <c r="J125"/>
    </row>
    <row r="126" spans="1:10" x14ac:dyDescent="0.25">
      <c r="A126" s="119"/>
      <c r="B126" s="119" t="s">
        <v>352</v>
      </c>
      <c r="C126" s="120" t="s">
        <v>353</v>
      </c>
      <c r="D126" s="194">
        <v>0.65</v>
      </c>
      <c r="H126" s="358" t="s">
        <v>1188</v>
      </c>
      <c r="I126" s="678">
        <v>28</v>
      </c>
      <c r="J126"/>
    </row>
    <row r="127" spans="1:10" x14ac:dyDescent="0.25">
      <c r="A127" s="119"/>
      <c r="B127" s="119" t="s">
        <v>341</v>
      </c>
      <c r="C127" s="120" t="s">
        <v>342</v>
      </c>
      <c r="D127" s="194">
        <v>0.95</v>
      </c>
      <c r="H127" s="358" t="s">
        <v>1187</v>
      </c>
      <c r="I127" s="678">
        <v>6</v>
      </c>
      <c r="J127"/>
    </row>
    <row r="128" spans="1:10" x14ac:dyDescent="0.25">
      <c r="A128" s="120"/>
      <c r="B128" s="120" t="s">
        <v>343</v>
      </c>
      <c r="C128" s="120" t="s">
        <v>1048</v>
      </c>
      <c r="D128" s="195">
        <v>0.18817204301075269</v>
      </c>
      <c r="H128" s="358" t="s">
        <v>1186</v>
      </c>
      <c r="I128" s="678">
        <v>18</v>
      </c>
      <c r="J128"/>
    </row>
    <row r="129" spans="1:10" x14ac:dyDescent="0.25">
      <c r="A129" s="119" t="s">
        <v>299</v>
      </c>
      <c r="B129" s="120" t="s">
        <v>870</v>
      </c>
      <c r="C129" s="120" t="s">
        <v>789</v>
      </c>
      <c r="D129" s="195">
        <v>0</v>
      </c>
      <c r="H129" s="358" t="s">
        <v>1426</v>
      </c>
      <c r="I129" s="678">
        <v>118</v>
      </c>
      <c r="J129"/>
    </row>
    <row r="130" spans="1:10" x14ac:dyDescent="0.25">
      <c r="A130" s="120"/>
      <c r="B130" s="148" t="s">
        <v>1063</v>
      </c>
      <c r="C130" s="148" t="s">
        <v>1064</v>
      </c>
      <c r="D130" s="122">
        <v>0.98360655737704916</v>
      </c>
      <c r="H130" s="185" t="s">
        <v>301</v>
      </c>
      <c r="I130" s="678">
        <v>507</v>
      </c>
      <c r="J130"/>
    </row>
    <row r="131" spans="1:10" x14ac:dyDescent="0.25">
      <c r="A131" s="119" t="s">
        <v>720</v>
      </c>
      <c r="B131" s="148" t="s">
        <v>1062</v>
      </c>
      <c r="C131" s="148" t="s">
        <v>1078</v>
      </c>
      <c r="D131" s="122">
        <v>1.0294117647058825</v>
      </c>
      <c r="H131" s="358" t="s">
        <v>303</v>
      </c>
      <c r="I131" s="678">
        <v>375</v>
      </c>
      <c r="J131"/>
    </row>
    <row r="132" spans="1:10" x14ac:dyDescent="0.25">
      <c r="A132" s="120" t="s">
        <v>411</v>
      </c>
      <c r="B132" s="120"/>
      <c r="C132" s="120"/>
      <c r="D132" s="195">
        <v>105.42932448197416</v>
      </c>
      <c r="H132" s="358" t="s">
        <v>305</v>
      </c>
      <c r="I132" s="678">
        <v>86</v>
      </c>
      <c r="J132"/>
    </row>
    <row r="133" spans="1:10" x14ac:dyDescent="0.25">
      <c r="B133"/>
      <c r="H133" s="358" t="s">
        <v>307</v>
      </c>
      <c r="I133" s="678">
        <v>46</v>
      </c>
      <c r="J133"/>
    </row>
    <row r="134" spans="1:10" x14ac:dyDescent="0.25">
      <c r="B134"/>
      <c r="H134" s="185" t="s">
        <v>27</v>
      </c>
      <c r="I134" s="678">
        <v>497</v>
      </c>
      <c r="J134"/>
    </row>
    <row r="135" spans="1:10" x14ac:dyDescent="0.25">
      <c r="B135"/>
      <c r="H135" s="358" t="s">
        <v>28</v>
      </c>
      <c r="I135" s="678">
        <v>108</v>
      </c>
      <c r="J135"/>
    </row>
    <row r="136" spans="1:10" x14ac:dyDescent="0.25">
      <c r="B136"/>
      <c r="H136" s="471" t="s">
        <v>362</v>
      </c>
      <c r="I136" s="678">
        <v>158</v>
      </c>
      <c r="J136"/>
    </row>
    <row r="137" spans="1:10" x14ac:dyDescent="0.25">
      <c r="B137"/>
      <c r="H137" s="358" t="s">
        <v>363</v>
      </c>
      <c r="I137" s="678">
        <v>144</v>
      </c>
      <c r="J137"/>
    </row>
    <row r="138" spans="1:10" x14ac:dyDescent="0.25">
      <c r="B138"/>
      <c r="H138" s="358" t="s">
        <v>792</v>
      </c>
      <c r="I138" s="678">
        <v>57</v>
      </c>
      <c r="J138"/>
    </row>
    <row r="139" spans="1:10" x14ac:dyDescent="0.25">
      <c r="B139"/>
      <c r="H139" s="358" t="s">
        <v>879</v>
      </c>
      <c r="I139" s="678">
        <v>30</v>
      </c>
      <c r="J139"/>
    </row>
    <row r="140" spans="1:10" x14ac:dyDescent="0.25">
      <c r="B140"/>
      <c r="H140" s="185" t="s">
        <v>288</v>
      </c>
      <c r="I140" s="678">
        <v>398</v>
      </c>
      <c r="J140"/>
    </row>
    <row r="141" spans="1:10" x14ac:dyDescent="0.25">
      <c r="B141"/>
      <c r="H141" s="358" t="s">
        <v>291</v>
      </c>
      <c r="I141" s="678">
        <v>75</v>
      </c>
      <c r="J141"/>
    </row>
    <row r="142" spans="1:10" x14ac:dyDescent="0.25">
      <c r="B142"/>
      <c r="H142" s="358" t="s">
        <v>289</v>
      </c>
      <c r="I142" s="678">
        <v>66</v>
      </c>
      <c r="J142"/>
    </row>
    <row r="143" spans="1:10" x14ac:dyDescent="0.25">
      <c r="B143"/>
      <c r="H143" s="358" t="s">
        <v>909</v>
      </c>
      <c r="I143" s="678">
        <v>35</v>
      </c>
      <c r="J143"/>
    </row>
    <row r="144" spans="1:10" x14ac:dyDescent="0.25">
      <c r="B144"/>
      <c r="H144" s="358" t="s">
        <v>372</v>
      </c>
      <c r="I144" s="678">
        <v>44</v>
      </c>
      <c r="J144"/>
    </row>
    <row r="145" spans="2:10" x14ac:dyDescent="0.25">
      <c r="B145"/>
      <c r="H145" s="471" t="s">
        <v>921</v>
      </c>
      <c r="I145" s="678">
        <v>117</v>
      </c>
      <c r="J145"/>
    </row>
    <row r="146" spans="2:10" x14ac:dyDescent="0.25">
      <c r="B146"/>
      <c r="H146" s="358" t="s">
        <v>1159</v>
      </c>
      <c r="I146" s="678">
        <v>61</v>
      </c>
      <c r="J146"/>
    </row>
    <row r="147" spans="2:10" x14ac:dyDescent="0.25">
      <c r="B147"/>
      <c r="H147" s="185" t="s">
        <v>1165</v>
      </c>
      <c r="I147" s="678">
        <v>289</v>
      </c>
      <c r="J147"/>
    </row>
    <row r="148" spans="2:10" x14ac:dyDescent="0.25">
      <c r="B148"/>
      <c r="H148" s="358" t="s">
        <v>1592</v>
      </c>
      <c r="I148" s="678">
        <v>52</v>
      </c>
      <c r="J148"/>
    </row>
    <row r="149" spans="2:10" x14ac:dyDescent="0.25">
      <c r="B149"/>
      <c r="H149" s="358" t="s">
        <v>1593</v>
      </c>
      <c r="I149" s="678">
        <v>157</v>
      </c>
      <c r="J149"/>
    </row>
    <row r="150" spans="2:10" x14ac:dyDescent="0.25">
      <c r="B150"/>
      <c r="H150" s="358" t="s">
        <v>1594</v>
      </c>
      <c r="I150" s="678">
        <v>36</v>
      </c>
      <c r="J150"/>
    </row>
    <row r="151" spans="2:10" x14ac:dyDescent="0.25">
      <c r="B151"/>
      <c r="H151" s="358" t="s">
        <v>1604</v>
      </c>
      <c r="I151" s="678">
        <v>44</v>
      </c>
      <c r="J151"/>
    </row>
    <row r="152" spans="2:10" x14ac:dyDescent="0.25">
      <c r="B152"/>
      <c r="H152" s="185" t="s">
        <v>230</v>
      </c>
      <c r="I152" s="678">
        <v>252</v>
      </c>
      <c r="J152"/>
    </row>
    <row r="153" spans="2:10" x14ac:dyDescent="0.25">
      <c r="B153"/>
      <c r="H153" s="358" t="s">
        <v>231</v>
      </c>
      <c r="I153" s="678">
        <v>32</v>
      </c>
      <c r="J153"/>
    </row>
    <row r="154" spans="2:10" x14ac:dyDescent="0.25">
      <c r="B154"/>
      <c r="H154" s="358" t="s">
        <v>907</v>
      </c>
      <c r="I154" s="678">
        <v>44</v>
      </c>
      <c r="J154"/>
    </row>
    <row r="155" spans="2:10" x14ac:dyDescent="0.25">
      <c r="B155"/>
      <c r="H155" s="358" t="s">
        <v>917</v>
      </c>
      <c r="I155" s="678">
        <v>22</v>
      </c>
      <c r="J155"/>
    </row>
    <row r="156" spans="2:10" x14ac:dyDescent="0.25">
      <c r="B156"/>
      <c r="H156" s="358" t="s">
        <v>717</v>
      </c>
      <c r="I156" s="678">
        <v>154</v>
      </c>
      <c r="J156"/>
    </row>
    <row r="157" spans="2:10" x14ac:dyDescent="0.25">
      <c r="B157"/>
      <c r="H157" s="185" t="s">
        <v>297</v>
      </c>
      <c r="I157" s="678">
        <v>148</v>
      </c>
      <c r="J157"/>
    </row>
    <row r="158" spans="2:10" x14ac:dyDescent="0.25">
      <c r="B158"/>
      <c r="H158" s="358" t="s">
        <v>761</v>
      </c>
      <c r="I158" s="678">
        <v>45</v>
      </c>
      <c r="J158"/>
    </row>
    <row r="159" spans="2:10" x14ac:dyDescent="0.25">
      <c r="B159"/>
      <c r="H159" s="358" t="s">
        <v>1166</v>
      </c>
      <c r="I159" s="678">
        <v>19</v>
      </c>
      <c r="J159"/>
    </row>
    <row r="160" spans="2:10" x14ac:dyDescent="0.25">
      <c r="B160"/>
      <c r="H160" s="358" t="s">
        <v>1221</v>
      </c>
      <c r="I160" s="678">
        <v>25</v>
      </c>
      <c r="J160"/>
    </row>
    <row r="161" spans="2:10" x14ac:dyDescent="0.25">
      <c r="B161"/>
      <c r="H161" s="358" t="s">
        <v>1425</v>
      </c>
      <c r="I161" s="678">
        <v>59</v>
      </c>
      <c r="J161"/>
    </row>
    <row r="162" spans="2:10" x14ac:dyDescent="0.25">
      <c r="B162"/>
      <c r="H162" s="185" t="s">
        <v>748</v>
      </c>
      <c r="I162" s="678">
        <v>138</v>
      </c>
      <c r="J162"/>
    </row>
    <row r="163" spans="2:10" x14ac:dyDescent="0.25">
      <c r="B163"/>
      <c r="H163" s="358" t="s">
        <v>748</v>
      </c>
      <c r="I163" s="678">
        <v>5</v>
      </c>
      <c r="J163"/>
    </row>
    <row r="164" spans="2:10" x14ac:dyDescent="0.25">
      <c r="B164"/>
      <c r="H164" s="358" t="s">
        <v>1084</v>
      </c>
      <c r="I164" s="678">
        <v>70</v>
      </c>
      <c r="J164"/>
    </row>
    <row r="165" spans="2:10" x14ac:dyDescent="0.25">
      <c r="B165"/>
      <c r="H165" s="358" t="s">
        <v>1086</v>
      </c>
      <c r="I165" s="678">
        <v>63</v>
      </c>
      <c r="J165"/>
    </row>
    <row r="166" spans="2:10" x14ac:dyDescent="0.25">
      <c r="B166"/>
      <c r="H166" s="185" t="s">
        <v>720</v>
      </c>
      <c r="I166" s="678">
        <v>100</v>
      </c>
      <c r="J166"/>
    </row>
    <row r="167" spans="2:10" x14ac:dyDescent="0.25">
      <c r="B167"/>
      <c r="H167" s="358" t="s">
        <v>536</v>
      </c>
      <c r="I167" s="678">
        <v>67</v>
      </c>
      <c r="J167"/>
    </row>
    <row r="168" spans="2:10" x14ac:dyDescent="0.25">
      <c r="B168"/>
      <c r="H168" s="358" t="s">
        <v>1078</v>
      </c>
      <c r="I168" s="678">
        <v>33</v>
      </c>
      <c r="J168"/>
    </row>
    <row r="169" spans="2:10" x14ac:dyDescent="0.25">
      <c r="B169"/>
      <c r="H169" s="185" t="s">
        <v>166</v>
      </c>
      <c r="I169" s="678">
        <v>98</v>
      </c>
      <c r="J169"/>
    </row>
    <row r="170" spans="2:10" x14ac:dyDescent="0.25">
      <c r="B170"/>
      <c r="H170" s="358" t="s">
        <v>167</v>
      </c>
      <c r="I170" s="678">
        <v>33</v>
      </c>
      <c r="J170"/>
    </row>
    <row r="171" spans="2:10" x14ac:dyDescent="0.25">
      <c r="B171"/>
      <c r="H171" s="358" t="s">
        <v>762</v>
      </c>
      <c r="I171" s="678">
        <v>29</v>
      </c>
      <c r="J171"/>
    </row>
    <row r="172" spans="2:10" x14ac:dyDescent="0.25">
      <c r="B172"/>
      <c r="H172" s="358" t="s">
        <v>1169</v>
      </c>
      <c r="I172" s="678">
        <v>36</v>
      </c>
      <c r="J172"/>
    </row>
    <row r="173" spans="2:10" x14ac:dyDescent="0.25">
      <c r="B173"/>
      <c r="H173" s="185" t="s">
        <v>299</v>
      </c>
      <c r="I173" s="678">
        <v>85</v>
      </c>
      <c r="J173"/>
    </row>
    <row r="174" spans="2:10" x14ac:dyDescent="0.25">
      <c r="B174"/>
      <c r="H174" s="358" t="s">
        <v>896</v>
      </c>
      <c r="I174" s="678">
        <v>10</v>
      </c>
      <c r="J174"/>
    </row>
    <row r="175" spans="2:10" x14ac:dyDescent="0.25">
      <c r="B175"/>
      <c r="H175" s="358" t="s">
        <v>300</v>
      </c>
      <c r="I175" s="678">
        <v>14</v>
      </c>
      <c r="J175"/>
    </row>
    <row r="176" spans="2:10" x14ac:dyDescent="0.25">
      <c r="B176"/>
      <c r="H176" s="358" t="s">
        <v>1064</v>
      </c>
      <c r="I176" s="678">
        <v>61</v>
      </c>
      <c r="J176"/>
    </row>
    <row r="177" spans="2:10" x14ac:dyDescent="0.25">
      <c r="B177"/>
      <c r="H177" s="185" t="s">
        <v>180</v>
      </c>
      <c r="I177" s="678">
        <v>76</v>
      </c>
      <c r="J177"/>
    </row>
    <row r="178" spans="2:10" x14ac:dyDescent="0.25">
      <c r="B178"/>
      <c r="H178" s="358" t="s">
        <v>286</v>
      </c>
      <c r="I178" s="678">
        <v>24</v>
      </c>
      <c r="J178"/>
    </row>
    <row r="179" spans="2:10" x14ac:dyDescent="0.25">
      <c r="B179"/>
      <c r="H179" s="358" t="s">
        <v>181</v>
      </c>
      <c r="I179" s="678">
        <v>11</v>
      </c>
      <c r="J179"/>
    </row>
    <row r="180" spans="2:10" x14ac:dyDescent="0.25">
      <c r="B180"/>
      <c r="H180" s="358" t="s">
        <v>993</v>
      </c>
      <c r="I180" s="678">
        <v>27</v>
      </c>
      <c r="J180"/>
    </row>
    <row r="181" spans="2:10" x14ac:dyDescent="0.25">
      <c r="B181"/>
      <c r="H181" s="358" t="s">
        <v>994</v>
      </c>
      <c r="I181" s="678">
        <v>14</v>
      </c>
      <c r="J181"/>
    </row>
    <row r="182" spans="2:10" x14ac:dyDescent="0.25">
      <c r="B182"/>
      <c r="H182" s="185" t="s">
        <v>173</v>
      </c>
      <c r="I182" s="678">
        <v>75</v>
      </c>
      <c r="J182"/>
    </row>
    <row r="183" spans="2:10" x14ac:dyDescent="0.25">
      <c r="B183"/>
      <c r="H183" s="358" t="s">
        <v>174</v>
      </c>
      <c r="I183" s="678">
        <v>13</v>
      </c>
      <c r="J183"/>
    </row>
    <row r="184" spans="2:10" x14ac:dyDescent="0.25">
      <c r="B184"/>
      <c r="H184" s="358" t="s">
        <v>178</v>
      </c>
      <c r="I184" s="678">
        <v>11</v>
      </c>
      <c r="J184"/>
    </row>
    <row r="185" spans="2:10" x14ac:dyDescent="0.25">
      <c r="B185"/>
      <c r="H185" s="358" t="s">
        <v>1080</v>
      </c>
      <c r="I185" s="678">
        <v>28</v>
      </c>
      <c r="J185"/>
    </row>
    <row r="186" spans="2:10" x14ac:dyDescent="0.25">
      <c r="B186"/>
      <c r="H186" s="358" t="s">
        <v>1072</v>
      </c>
      <c r="I186" s="678">
        <v>7</v>
      </c>
      <c r="J186"/>
    </row>
    <row r="187" spans="2:10" x14ac:dyDescent="0.25">
      <c r="B187"/>
      <c r="H187" s="358" t="s">
        <v>1696</v>
      </c>
      <c r="I187" s="678">
        <v>16</v>
      </c>
      <c r="J187"/>
    </row>
    <row r="188" spans="2:10" x14ac:dyDescent="0.25">
      <c r="B188"/>
      <c r="H188" s="185" t="s">
        <v>1230</v>
      </c>
      <c r="I188" s="678">
        <v>37</v>
      </c>
      <c r="J188"/>
    </row>
    <row r="189" spans="2:10" x14ac:dyDescent="0.25">
      <c r="B189"/>
      <c r="H189" s="358" t="s">
        <v>1227</v>
      </c>
      <c r="I189" s="678">
        <v>37</v>
      </c>
      <c r="J189"/>
    </row>
    <row r="190" spans="2:10" x14ac:dyDescent="0.25">
      <c r="B190"/>
      <c r="H190" s="234" t="s">
        <v>411</v>
      </c>
      <c r="I190" s="679">
        <v>19507</v>
      </c>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F47"/>
  <sheetViews>
    <sheetView showGridLines="0" showZeros="0" zoomScale="110" zoomScaleNormal="110" zoomScaleSheetLayoutView="100" zoomScalePageLayoutView="80" workbookViewId="0">
      <selection activeCell="P17" sqref="P17"/>
    </sheetView>
  </sheetViews>
  <sheetFormatPr defaultColWidth="9.140625" defaultRowHeight="15" x14ac:dyDescent="0.25"/>
  <cols>
    <col min="1" max="1" width="1.85546875" style="209" customWidth="1"/>
    <col min="2" max="2" width="11.85546875" style="209" customWidth="1"/>
    <col min="3" max="3" width="9" style="209" customWidth="1"/>
    <col min="4" max="4" width="9.85546875" style="209" customWidth="1"/>
    <col min="5" max="5" width="8" style="209" customWidth="1"/>
    <col min="6" max="6" width="7.28515625" style="209" customWidth="1"/>
    <col min="7" max="7" width="10.140625" style="209" bestFit="1" customWidth="1"/>
    <col min="8" max="8" width="12.42578125" style="209" bestFit="1" customWidth="1"/>
    <col min="9" max="10" width="16" style="209" customWidth="1"/>
    <col min="11" max="11" width="9.140625" style="209"/>
    <col min="12" max="12" width="8.7109375" style="209" customWidth="1"/>
    <col min="13" max="13" width="5.85546875" style="209" customWidth="1"/>
    <col min="14" max="14" width="15.7109375" style="209" customWidth="1"/>
    <col min="15" max="15" width="9.140625" style="360"/>
    <col min="16" max="16" width="7.7109375" style="360" customWidth="1"/>
    <col min="17" max="19" width="9.140625" style="360" customWidth="1"/>
    <col min="20" max="20" width="21.140625" style="360" customWidth="1"/>
    <col min="21" max="21" width="9.140625" style="360" customWidth="1"/>
    <col min="22" max="23" width="9.140625" style="209" customWidth="1"/>
    <col min="24" max="77" width="9.140625" style="209"/>
    <col min="78" max="78" width="9.140625" style="209" customWidth="1"/>
    <col min="79" max="79" width="15" style="209" customWidth="1"/>
    <col min="80" max="82" width="8" style="209" customWidth="1"/>
    <col min="83" max="16384" width="9.140625" style="209"/>
  </cols>
  <sheetData>
    <row r="1" spans="1:84" ht="12.75" customHeight="1" x14ac:dyDescent="0.25"/>
    <row r="2" spans="1:84" ht="21.75" customHeight="1" x14ac:dyDescent="0.25">
      <c r="A2" s="406"/>
      <c r="B2" s="879" t="s">
        <v>534</v>
      </c>
      <c r="C2" s="880"/>
      <c r="D2" s="880"/>
      <c r="E2" s="880"/>
      <c r="F2" s="880"/>
      <c r="G2" s="880"/>
      <c r="H2" s="880"/>
      <c r="I2" s="880"/>
      <c r="J2" s="880"/>
      <c r="K2" s="630"/>
      <c r="L2" s="630"/>
      <c r="M2" s="630"/>
      <c r="N2" s="208"/>
      <c r="P2" s="770" t="s">
        <v>1631</v>
      </c>
      <c r="Q2" s="694"/>
      <c r="R2" s="694"/>
      <c r="S2" s="694"/>
      <c r="T2" s="694"/>
      <c r="AK2" s="472"/>
      <c r="AL2" s="472"/>
      <c r="CB2" s="209" t="s">
        <v>988</v>
      </c>
      <c r="CC2" s="622" t="e">
        <f>GETPIVOTDATA("# HH",$B$9)</f>
        <v>#REF!</v>
      </c>
    </row>
    <row r="3" spans="1:84" s="406" customFormat="1" ht="15" customHeight="1" x14ac:dyDescent="0.25">
      <c r="B3" s="869" t="s">
        <v>1752</v>
      </c>
      <c r="C3" s="870"/>
      <c r="D3" s="870"/>
      <c r="E3" s="870"/>
      <c r="F3" s="870"/>
      <c r="G3" s="870"/>
      <c r="H3" s="870"/>
      <c r="I3" s="870"/>
      <c r="J3" s="631"/>
      <c r="K3" s="631"/>
      <c r="L3" s="631"/>
      <c r="M3" s="631"/>
      <c r="N3" s="210"/>
      <c r="O3" s="224"/>
      <c r="P3" s="687">
        <f>COUNTIFS(CampList[[#All],[Status]],"Open",CampList[[#All],[Type of Accommodation]],"Camp")+COUNTIFS(CampList[[#All],[Status]],"Open",CampList[[#All],[Type of Accommodation]],"Camp like setting")</f>
        <v>151</v>
      </c>
      <c r="Q3" s="694"/>
      <c r="R3" s="694"/>
      <c r="S3" s="694"/>
      <c r="T3" s="694"/>
      <c r="U3" s="360"/>
      <c r="V3" s="209"/>
      <c r="W3" s="209"/>
      <c r="X3" s="209"/>
      <c r="Z3" s="209"/>
      <c r="AA3" s="209"/>
      <c r="AK3" s="211"/>
      <c r="AL3" s="211"/>
      <c r="CB3" s="209" t="s">
        <v>1044</v>
      </c>
      <c r="CC3" s="622" t="e">
        <f>GETPIVOTDATA("# Camps",$B$9)</f>
        <v>#REF!</v>
      </c>
      <c r="CD3" s="209"/>
      <c r="CE3" s="209"/>
    </row>
    <row r="4" spans="1:84" s="406" customFormat="1" ht="18" customHeight="1" x14ac:dyDescent="0.25">
      <c r="A4" s="266"/>
      <c r="B4" s="103" t="s">
        <v>1753</v>
      </c>
      <c r="C4" s="103"/>
      <c r="D4" s="103"/>
      <c r="E4" s="103"/>
      <c r="F4" s="103"/>
      <c r="G4" s="103"/>
      <c r="H4" s="103"/>
      <c r="I4" s="103"/>
      <c r="J4" s="104"/>
      <c r="K4" s="104"/>
      <c r="L4" s="104"/>
      <c r="M4" s="104"/>
      <c r="N4" s="266"/>
      <c r="O4" s="224"/>
      <c r="P4" s="360"/>
      <c r="Q4" s="360"/>
      <c r="R4" s="360"/>
      <c r="S4" s="360"/>
      <c r="T4" s="360"/>
      <c r="U4" s="360"/>
      <c r="V4" s="209"/>
      <c r="W4" s="209"/>
      <c r="X4" s="209"/>
      <c r="Z4" s="209"/>
      <c r="AA4" s="209"/>
      <c r="AK4" s="211"/>
      <c r="AL4" s="211"/>
      <c r="CB4" s="209"/>
      <c r="CC4" s="622"/>
      <c r="CD4" s="209"/>
      <c r="CE4" s="209"/>
    </row>
    <row r="5" spans="1:84" ht="16.149999999999999" customHeight="1" x14ac:dyDescent="0.25">
      <c r="A5" s="266"/>
      <c r="B5" s="266"/>
      <c r="C5" s="266"/>
      <c r="D5" s="266"/>
      <c r="E5" s="266"/>
      <c r="F5" s="266"/>
      <c r="G5" s="266"/>
      <c r="H5" s="266"/>
      <c r="I5" s="266"/>
      <c r="J5" s="266"/>
      <c r="K5" s="266"/>
      <c r="L5" s="266"/>
      <c r="M5" s="266"/>
      <c r="N5" s="266"/>
      <c r="CB5" s="209" t="s">
        <v>990</v>
      </c>
      <c r="CC5" s="342" t="e">
        <f>GETPIVOTDATA("# HH",$B$9)-GETPIVOTDATA("# Shelter Gap",$B$9)</f>
        <v>#REF!</v>
      </c>
      <c r="CD5" s="623" t="e">
        <f>CC5/CC2</f>
        <v>#REF!</v>
      </c>
    </row>
    <row r="6" spans="1:84" ht="16.149999999999999" customHeight="1" x14ac:dyDescent="0.25">
      <c r="A6" s="266"/>
      <c r="B6" s="266"/>
      <c r="C6" s="266"/>
      <c r="D6" s="266"/>
      <c r="E6" s="266"/>
      <c r="F6" s="266"/>
      <c r="G6" s="266"/>
      <c r="H6" s="266"/>
      <c r="I6" s="266"/>
      <c r="J6" s="266"/>
      <c r="K6" s="266"/>
      <c r="L6" s="266"/>
      <c r="M6" s="266"/>
      <c r="N6" s="266"/>
      <c r="CA6" s="406"/>
      <c r="CB6" s="209" t="s">
        <v>989</v>
      </c>
      <c r="CC6" s="622" t="e">
        <f>GETPIVOTDATA("# Shelter Gap",$B$9)</f>
        <v>#REF!</v>
      </c>
      <c r="CD6" s="623"/>
    </row>
    <row r="7" spans="1:84" ht="6" customHeight="1" x14ac:dyDescent="0.25">
      <c r="A7" s="266"/>
      <c r="B7" s="266"/>
      <c r="C7" s="266"/>
      <c r="D7" s="266"/>
      <c r="E7" s="266"/>
      <c r="F7" s="266"/>
      <c r="G7" s="266"/>
      <c r="H7" s="266"/>
      <c r="I7" s="266"/>
      <c r="J7" s="266"/>
      <c r="K7" s="266"/>
      <c r="L7" s="266"/>
      <c r="M7" s="266"/>
      <c r="N7" s="266"/>
      <c r="CB7" s="209" t="s">
        <v>992</v>
      </c>
      <c r="CC7" s="622" t="e">
        <f>GETPIVOTDATA("# Const. Shelter",$B$9)</f>
        <v>#REF!</v>
      </c>
      <c r="CD7" s="623" t="e">
        <f>CC7/CC2</f>
        <v>#REF!</v>
      </c>
    </row>
    <row r="8" spans="1:84" ht="5.45" customHeight="1" x14ac:dyDescent="0.25">
      <c r="A8" s="266"/>
      <c r="B8" s="266"/>
      <c r="C8" s="266"/>
      <c r="D8" s="266"/>
      <c r="E8" s="266"/>
      <c r="F8" s="266"/>
      <c r="G8" s="266"/>
      <c r="H8" s="266"/>
      <c r="I8" s="266"/>
      <c r="J8" s="266"/>
      <c r="K8" s="266"/>
      <c r="L8" s="266"/>
      <c r="M8" s="266"/>
      <c r="N8" s="266"/>
      <c r="CB8" s="209" t="s">
        <v>991</v>
      </c>
      <c r="CC8" s="342" t="e">
        <f>GETPIVOTDATA("# Shelter Gap",$B$9)-GETPIVOTDATA("# Const. Shelter",$B$9)</f>
        <v>#REF!</v>
      </c>
      <c r="CD8" s="623" t="e">
        <f>CC8/CC2</f>
        <v>#REF!</v>
      </c>
    </row>
    <row r="9" spans="1:84" ht="42" customHeight="1" x14ac:dyDescent="0.25">
      <c r="A9" s="266"/>
      <c r="B9" s="618" t="s">
        <v>0</v>
      </c>
      <c r="C9" s="619" t="s">
        <v>1553</v>
      </c>
      <c r="D9" s="620" t="s">
        <v>1552</v>
      </c>
      <c r="E9" s="620" t="s">
        <v>1558</v>
      </c>
      <c r="F9" s="620" t="s">
        <v>1554</v>
      </c>
      <c r="G9" s="620" t="s">
        <v>1559</v>
      </c>
      <c r="H9" s="620" t="s">
        <v>1555</v>
      </c>
      <c r="I9" s="266"/>
      <c r="J9" s="266"/>
      <c r="K9" s="266"/>
      <c r="L9" s="266"/>
      <c r="M9" s="266"/>
      <c r="N9" s="266"/>
    </row>
    <row r="10" spans="1:84" ht="12.6" customHeight="1" x14ac:dyDescent="0.25">
      <c r="A10" s="266"/>
      <c r="B10" s="612" t="s">
        <v>5</v>
      </c>
      <c r="C10" s="614">
        <f>GETPIVOTDATA("HH",'IDP location Analysis'!$B$9,"Township","Bhamo")</f>
        <v>1484</v>
      </c>
      <c r="D10" s="615">
        <f>GETPIVOTDATA("Individuals",'IDP location Analysis'!$B$9,"Township","Bhamo")</f>
        <v>8306</v>
      </c>
      <c r="E10" s="615">
        <f>'Shelter Gap Analysis'!H15+'Shelter Gap Analysis'!J15+'Shelter Gap Analysis'!K15</f>
        <v>500</v>
      </c>
      <c r="F10" s="616">
        <f>'Shelter Gap Analysis'!M15+'Shelter Gap Analysis'!O15+'Shelter Gap Analysis'!P15</f>
        <v>10</v>
      </c>
      <c r="G10" s="614">
        <f>E10-F10</f>
        <v>490</v>
      </c>
      <c r="H10" s="617">
        <f>IF(AND(E10=0,F10=0),"",IF((IFERROR(F10/E10,0))=0,"no coverage",F10/E10))</f>
        <v>0.02</v>
      </c>
      <c r="I10" s="473"/>
      <c r="J10" s="473"/>
      <c r="K10" s="266"/>
      <c r="L10" s="266"/>
      <c r="M10" s="266"/>
      <c r="N10" s="266"/>
    </row>
    <row r="11" spans="1:84" ht="12.6" customHeight="1" x14ac:dyDescent="0.25">
      <c r="B11" s="612" t="s">
        <v>27</v>
      </c>
      <c r="C11" s="614">
        <f>GETPIVOTDATA("HH",'IDP location Analysis'!$B$9,"Township","Chipwi")</f>
        <v>497</v>
      </c>
      <c r="D11" s="615">
        <f>GETPIVOTDATA("Individuals",'IDP location Analysis'!$B$9,"Township","Chipwi")</f>
        <v>2569</v>
      </c>
      <c r="E11" s="615">
        <f>'Shelter Gap Analysis'!H21+'Shelter Gap Analysis'!J21+'Shelter Gap Analysis'!K21</f>
        <v>420</v>
      </c>
      <c r="F11" s="616">
        <f>'Shelter Gap Analysis'!M21+'Shelter Gap Analysis'!O21+'Shelter Gap Analysis'!P21</f>
        <v>0</v>
      </c>
      <c r="G11" s="614">
        <f t="shared" ref="G11:G27" si="0">E11-F11</f>
        <v>420</v>
      </c>
      <c r="H11" s="617" t="str">
        <f t="shared" ref="H11:H27" si="1">IF(AND(E11=0,F11=0),"",IF((IFERROR(F11/E11,0))=0,"no coverage",F11/E11))</f>
        <v>no coverage</v>
      </c>
      <c r="I11" s="474"/>
      <c r="J11" s="474"/>
      <c r="K11" s="266"/>
      <c r="L11" s="266"/>
      <c r="M11" s="266"/>
      <c r="N11" s="266"/>
    </row>
    <row r="12" spans="1:84" ht="12.6" customHeight="1" x14ac:dyDescent="0.25">
      <c r="B12" s="612" t="s">
        <v>481</v>
      </c>
      <c r="C12" s="614">
        <f>GETPIVOTDATA("HH",'IDP location Analysis'!$B$9,"Township","Hpakant")</f>
        <v>716</v>
      </c>
      <c r="D12" s="615">
        <f>GETPIVOTDATA("Individuals",'IDP location Analysis'!$B$9,"Township","Hpakant")</f>
        <v>3590</v>
      </c>
      <c r="E12" s="615">
        <f>'Shelter Gap Analysis'!H45+'Shelter Gap Analysis'!J45+'Shelter Gap Analysis'!K45</f>
        <v>452</v>
      </c>
      <c r="F12" s="616">
        <f>'Shelter Gap Analysis'!M45+'Shelter Gap Analysis'!O45+'Shelter Gap Analysis'!P45</f>
        <v>120</v>
      </c>
      <c r="G12" s="614">
        <f t="shared" si="0"/>
        <v>332</v>
      </c>
      <c r="H12" s="617">
        <f t="shared" si="1"/>
        <v>0.26548672566371684</v>
      </c>
      <c r="I12" s="474"/>
      <c r="J12" s="474"/>
      <c r="K12" s="266"/>
      <c r="L12" s="266"/>
      <c r="M12" s="266"/>
      <c r="N12" s="266"/>
    </row>
    <row r="13" spans="1:84" ht="12.6" customHeight="1" x14ac:dyDescent="0.25">
      <c r="B13" s="612" t="s">
        <v>720</v>
      </c>
      <c r="C13" s="614">
        <f>GETPIVOTDATA("HH",'IDP location Analysis'!$B$9,"Township","Hseni")</f>
        <v>100</v>
      </c>
      <c r="D13" s="615">
        <f>GETPIVOTDATA("Individuals",'IDP location Analysis'!$B$9,"Township","Hseni")</f>
        <v>566</v>
      </c>
      <c r="E13" s="615">
        <f>'Shelter Gap Analysis'!H47+'Shelter Gap Analysis'!J47+'Shelter Gap Analysis'!K47</f>
        <v>37</v>
      </c>
      <c r="F13" s="616">
        <f>'Shelter Gap Analysis'!M47+'Shelter Gap Analysis'!O47+'Shelter Gap Analysis'!P47</f>
        <v>0</v>
      </c>
      <c r="G13" s="614">
        <f t="shared" si="0"/>
        <v>37</v>
      </c>
      <c r="H13" s="617" t="str">
        <f t="shared" si="1"/>
        <v>no coverage</v>
      </c>
      <c r="I13" s="266"/>
      <c r="J13" s="474"/>
      <c r="K13" s="266"/>
      <c r="L13" s="266"/>
      <c r="M13" s="266"/>
      <c r="N13" s="266"/>
    </row>
    <row r="14" spans="1:84" ht="12.6" customHeight="1" x14ac:dyDescent="0.25">
      <c r="B14" s="612" t="s">
        <v>1230</v>
      </c>
      <c r="C14" s="614">
        <f>GETPIVOTDATA("HH",'IDP location Analysis'!$B$9,"Township","Hsipaw")</f>
        <v>37</v>
      </c>
      <c r="D14" s="615">
        <f>GETPIVOTDATA("Individuals",'IDP location Analysis'!$B$9,"Township","Hsipaw")</f>
        <v>120</v>
      </c>
      <c r="E14" s="615">
        <f>'Shelter Gap Analysis'!H49+'Shelter Gap Analysis'!J49+'Shelter Gap Analysis'!K49</f>
        <v>0</v>
      </c>
      <c r="F14" s="616">
        <f>'Shelter Gap Analysis'!M49+'Shelter Gap Analysis'!O49+'Shelter Gap Analysis'!P49</f>
        <v>0</v>
      </c>
      <c r="G14" s="614">
        <f t="shared" si="0"/>
        <v>0</v>
      </c>
      <c r="H14" s="617" t="str">
        <f t="shared" si="1"/>
        <v/>
      </c>
      <c r="I14" s="266"/>
      <c r="J14" s="474"/>
      <c r="K14" s="266"/>
      <c r="L14" s="266"/>
      <c r="M14" s="266"/>
      <c r="N14" s="266"/>
    </row>
    <row r="15" spans="1:84" ht="12.6" customHeight="1" x14ac:dyDescent="0.25">
      <c r="B15" s="612" t="s">
        <v>146</v>
      </c>
      <c r="C15" s="614">
        <f>GETPIVOTDATA("HH",'IDP location Analysis'!$B$9,"Township","Kutkai")</f>
        <v>875</v>
      </c>
      <c r="D15" s="615">
        <f>GETPIVOTDATA("Individuals",'IDP location Analysis'!$B$9,"Township","Kutkai")</f>
        <v>4317</v>
      </c>
      <c r="E15" s="615">
        <f>'Shelter Gap Analysis'!H60+'Shelter Gap Analysis'!J60+'Shelter Gap Analysis'!K60</f>
        <v>392</v>
      </c>
      <c r="F15" s="616">
        <f>'Shelter Gap Analysis'!M60+'Shelter Gap Analysis'!O60+'Shelter Gap Analysis'!P60</f>
        <v>181</v>
      </c>
      <c r="G15" s="614">
        <f t="shared" si="0"/>
        <v>211</v>
      </c>
      <c r="H15" s="617">
        <f t="shared" si="1"/>
        <v>0.46173469387755101</v>
      </c>
      <c r="I15" s="266"/>
      <c r="J15" s="474"/>
      <c r="K15" s="266"/>
      <c r="L15" s="266"/>
      <c r="M15" s="266"/>
      <c r="N15" s="266"/>
    </row>
    <row r="16" spans="1:84" ht="15" customHeight="1" x14ac:dyDescent="0.25">
      <c r="A16" s="266"/>
      <c r="B16" s="612" t="s">
        <v>151</v>
      </c>
      <c r="C16" s="614">
        <f>GETPIVOTDATA("HH",'IDP location Analysis'!$B$9,"Township","Mansi")</f>
        <v>2755</v>
      </c>
      <c r="D16" s="615">
        <f>GETPIVOTDATA("Individuals",'IDP location Analysis'!$B$9,"Township","Mansi")</f>
        <v>12961</v>
      </c>
      <c r="E16" s="615">
        <f>'Shelter Gap Analysis'!H70+'Shelter Gap Analysis'!J70+'Shelter Gap Analysis'!K70</f>
        <v>655</v>
      </c>
      <c r="F16" s="616">
        <f>'Shelter Gap Analysis'!M70+'Shelter Gap Analysis'!O70+'Shelter Gap Analysis'!P70</f>
        <v>20</v>
      </c>
      <c r="G16" s="614">
        <f t="shared" si="0"/>
        <v>635</v>
      </c>
      <c r="H16" s="617">
        <f>IF(AND(E16=0,F16=0),"",IF((IFERROR(F16/E16,0))=0,"no coverage",F16/E16))</f>
        <v>3.0534351145038167E-2</v>
      </c>
      <c r="I16" s="266"/>
      <c r="J16" s="266"/>
      <c r="K16" s="474"/>
      <c r="L16" s="266"/>
      <c r="M16" s="266"/>
      <c r="N16" s="266"/>
      <c r="O16" s="209"/>
      <c r="V16" s="360"/>
      <c r="CC16" s="209" t="s">
        <v>0</v>
      </c>
      <c r="CD16" s="209" t="s">
        <v>1008</v>
      </c>
      <c r="CE16" s="209" t="s">
        <v>1009</v>
      </c>
      <c r="CF16" s="209" t="s">
        <v>1010</v>
      </c>
    </row>
    <row r="17" spans="1:84" s="613" customFormat="1" ht="12.75" customHeight="1" x14ac:dyDescent="0.25">
      <c r="A17" s="476"/>
      <c r="B17" s="612" t="s">
        <v>166</v>
      </c>
      <c r="C17" s="614">
        <f>GETPIVOTDATA("HH",'IDP location Analysis'!$B$9,"Township","Manton")</f>
        <v>98</v>
      </c>
      <c r="D17" s="615">
        <f>GETPIVOTDATA("Individuals",'IDP location Analysis'!$B$9,"Township","Manton")</f>
        <v>534</v>
      </c>
      <c r="E17" s="615">
        <f>'Shelter Gap Analysis'!H74+'Shelter Gap Analysis'!J74+'Shelter Gap Analysis'!K74</f>
        <v>54</v>
      </c>
      <c r="F17" s="616">
        <f>'Shelter Gap Analysis'!M74+'Shelter Gap Analysis'!O74+'Shelter Gap Analysis'!P74</f>
        <v>50</v>
      </c>
      <c r="G17" s="614">
        <f t="shared" si="0"/>
        <v>4</v>
      </c>
      <c r="H17" s="617">
        <f>IF(AND(E17=0,F17=0),"",IF((IFERROR(F17/E17,0))=0,"no coverage",F17/E17))</f>
        <v>0.92592592592592593</v>
      </c>
      <c r="I17" s="476"/>
      <c r="J17" s="476"/>
      <c r="K17" s="477"/>
      <c r="L17" s="476"/>
      <c r="M17" s="476"/>
      <c r="N17" s="476"/>
      <c r="P17" s="360"/>
      <c r="Q17" s="360"/>
      <c r="R17" s="360"/>
      <c r="S17" s="360"/>
      <c r="T17" s="360"/>
      <c r="U17" s="360"/>
      <c r="V17" s="360"/>
      <c r="CC17" s="613" t="str">
        <f>B10</f>
        <v>Bhamo</v>
      </c>
      <c r="CD17" s="475">
        <f>C10-Shelter_Draw[[#This Row],[V2]]-Shelter_Draw[[#This Row],[V3]]</f>
        <v>1483.98</v>
      </c>
      <c r="CE17" s="475">
        <f>I17</f>
        <v>0</v>
      </c>
      <c r="CF17" s="475">
        <f>H10-I17</f>
        <v>0.02</v>
      </c>
    </row>
    <row r="18" spans="1:84" s="613" customFormat="1" ht="12.75" customHeight="1" x14ac:dyDescent="0.25">
      <c r="A18" s="476"/>
      <c r="B18" s="612" t="s">
        <v>173</v>
      </c>
      <c r="C18" s="614">
        <f>GETPIVOTDATA("HH",'IDP location Analysis'!$B$9,"Township","Mogaung")</f>
        <v>75</v>
      </c>
      <c r="D18" s="615">
        <f>GETPIVOTDATA("Individuals",'IDP location Analysis'!$B$9,"Township","Mogaung")</f>
        <v>349</v>
      </c>
      <c r="E18" s="615">
        <f>'Shelter Gap Analysis'!H80+'Shelter Gap Analysis'!J80+'Shelter Gap Analysis'!K80</f>
        <v>144</v>
      </c>
      <c r="F18" s="616">
        <f>'Shelter Gap Analysis'!M80+'Shelter Gap Analysis'!O80+'Shelter Gap Analysis'!P80</f>
        <v>0</v>
      </c>
      <c r="G18" s="614">
        <f t="shared" si="0"/>
        <v>144</v>
      </c>
      <c r="H18" s="617" t="str">
        <f t="shared" si="1"/>
        <v>no coverage</v>
      </c>
      <c r="I18" s="476"/>
      <c r="J18" s="476"/>
      <c r="K18" s="477"/>
      <c r="L18" s="476"/>
      <c r="M18" s="476"/>
      <c r="N18" s="476"/>
      <c r="P18" s="360"/>
      <c r="Q18" s="360"/>
      <c r="R18" s="360"/>
      <c r="S18" s="360"/>
      <c r="T18" s="360"/>
      <c r="U18" s="360"/>
      <c r="V18" s="360"/>
      <c r="CC18" s="613" t="str">
        <f>B11</f>
        <v>Chipwi</v>
      </c>
      <c r="CD18" s="475" t="e">
        <f>C11-Shelter_Draw[[#This Row],[V2]]-Shelter_Draw[[#This Row],[V3]]</f>
        <v>#VALUE!</v>
      </c>
      <c r="CE18" s="475">
        <f>I18</f>
        <v>0</v>
      </c>
      <c r="CF18" s="475" t="e">
        <f>H11-I18</f>
        <v>#VALUE!</v>
      </c>
    </row>
    <row r="19" spans="1:84" s="613" customFormat="1" ht="12.75" customHeight="1" x14ac:dyDescent="0.25">
      <c r="A19" s="476"/>
      <c r="B19" s="612" t="s">
        <v>180</v>
      </c>
      <c r="C19" s="614">
        <f>GETPIVOTDATA("HH",'IDP location Analysis'!$B$9,"Township","Mohnyin")</f>
        <v>76</v>
      </c>
      <c r="D19" s="615">
        <f>GETPIVOTDATA("Individuals",'IDP location Analysis'!$B$9,"Township","Mohnyin")</f>
        <v>350</v>
      </c>
      <c r="E19" s="615">
        <f>'Shelter Gap Analysis'!H83+'Shelter Gap Analysis'!J83+'Shelter Gap Analysis'!K83</f>
        <v>36</v>
      </c>
      <c r="F19" s="616"/>
      <c r="G19" s="614">
        <f t="shared" si="0"/>
        <v>36</v>
      </c>
      <c r="H19" s="617" t="str">
        <f t="shared" si="1"/>
        <v>no coverage</v>
      </c>
      <c r="I19" s="476"/>
      <c r="J19" s="476"/>
      <c r="K19" s="478"/>
      <c r="L19" s="476"/>
      <c r="M19" s="476"/>
      <c r="N19" s="476"/>
      <c r="P19" s="360"/>
      <c r="Q19" s="360"/>
      <c r="R19" s="360"/>
      <c r="S19" s="360"/>
      <c r="T19" s="360"/>
      <c r="U19" s="360"/>
      <c r="V19" s="360"/>
      <c r="CC19" s="613" t="str">
        <f>B12</f>
        <v>Hpakant</v>
      </c>
      <c r="CD19" s="475">
        <f>C12-Shelter_Draw[[#This Row],[V2]]-Shelter_Draw[[#This Row],[V3]]</f>
        <v>715.73451327433634</v>
      </c>
      <c r="CE19" s="475">
        <f>I19</f>
        <v>0</v>
      </c>
      <c r="CF19" s="475">
        <f>H12-I19</f>
        <v>0.26548672566371684</v>
      </c>
    </row>
    <row r="20" spans="1:84" s="613" customFormat="1" ht="12.75" customHeight="1" x14ac:dyDescent="0.25">
      <c r="A20" s="476"/>
      <c r="B20" s="612" t="s">
        <v>185</v>
      </c>
      <c r="C20" s="614">
        <f>GETPIVOTDATA("HH",'IDP location Analysis'!$B$9,"Township","Momauk")</f>
        <v>4725</v>
      </c>
      <c r="D20" s="615">
        <f>GETPIVOTDATA("Individuals",'IDP location Analysis'!$B$9,"Township","Momauk")</f>
        <v>24769</v>
      </c>
      <c r="E20" s="615">
        <f>'Shelter Gap Analysis'!H97+'Shelter Gap Analysis'!J97+'Shelter Gap Analysis'!K97</f>
        <v>326</v>
      </c>
      <c r="F20" s="616">
        <f>'Shelter Gap Analysis'!M97+'Shelter Gap Analysis'!O97+'Shelter Gap Analysis'!P97</f>
        <v>133</v>
      </c>
      <c r="G20" s="614">
        <f t="shared" si="0"/>
        <v>193</v>
      </c>
      <c r="H20" s="617">
        <f t="shared" si="1"/>
        <v>0.40797546012269936</v>
      </c>
      <c r="I20" s="476"/>
      <c r="J20" s="476"/>
      <c r="K20" s="476"/>
      <c r="L20" s="476"/>
      <c r="M20" s="476"/>
      <c r="N20" s="476"/>
      <c r="P20" s="360"/>
      <c r="Q20" s="360"/>
      <c r="R20" s="360"/>
      <c r="S20" s="360"/>
      <c r="T20" s="360"/>
      <c r="U20" s="360"/>
      <c r="V20" s="360"/>
      <c r="CC20" s="613" t="str">
        <f t="shared" ref="CC20:CC29" si="2">B15</f>
        <v>Kutkai</v>
      </c>
      <c r="CD20" s="475">
        <f>C15-Shelter_Draw[[#This Row],[V2]]-Shelter_Draw[[#This Row],[V3]]</f>
        <v>664</v>
      </c>
      <c r="CE20" s="475">
        <f t="shared" ref="CE20:CE26" si="3">H15</f>
        <v>0.46173469387755101</v>
      </c>
      <c r="CF20" s="475">
        <f t="shared" ref="CF20:CF26" si="4">G15-H15</f>
        <v>210.53826530612244</v>
      </c>
    </row>
    <row r="21" spans="1:84" s="613" customFormat="1" ht="12.6" customHeight="1" x14ac:dyDescent="0.25">
      <c r="A21" s="476"/>
      <c r="B21" s="612" t="s">
        <v>230</v>
      </c>
      <c r="C21" s="614">
        <f>GETPIVOTDATA(" HH",'IDP location Analysis'!$B$9,"Township","Muse")</f>
        <v>252</v>
      </c>
      <c r="D21" s="615">
        <f>GETPIVOTDATA("Individuals",'IDP location Analysis'!$B$9,"Township","Muse")</f>
        <v>1261</v>
      </c>
      <c r="E21" s="615">
        <f>'Shelter Gap Analysis'!H101+'Shelter Gap Analysis'!J101+'Shelter Gap Analysis'!K101</f>
        <v>35</v>
      </c>
      <c r="F21" s="616">
        <f>'Shelter Gap Analysis'!M101+'Shelter Gap Analysis'!O101+'Shelter Gap Analysis'!P101</f>
        <v>20</v>
      </c>
      <c r="G21" s="614">
        <f t="shared" si="0"/>
        <v>15</v>
      </c>
      <c r="H21" s="617">
        <f t="shared" si="1"/>
        <v>0.5714285714285714</v>
      </c>
      <c r="I21" s="476"/>
      <c r="J21" s="476"/>
      <c r="K21" s="476"/>
      <c r="L21" s="476"/>
      <c r="M21" s="476"/>
      <c r="N21" s="476"/>
      <c r="P21" s="360"/>
      <c r="Q21" s="360"/>
      <c r="R21" s="360"/>
      <c r="S21" s="360"/>
      <c r="T21" s="360"/>
      <c r="U21" s="360"/>
      <c r="V21" s="360"/>
      <c r="CC21" s="613" t="str">
        <f t="shared" si="2"/>
        <v>Mansi</v>
      </c>
      <c r="CD21" s="475">
        <f>C16-Shelter_Draw[[#This Row],[V2]]-Shelter_Draw[[#This Row],[V3]]</f>
        <v>2120</v>
      </c>
      <c r="CE21" s="475">
        <f t="shared" si="3"/>
        <v>3.0534351145038167E-2</v>
      </c>
      <c r="CF21" s="475">
        <f t="shared" si="4"/>
        <v>634.96946564885491</v>
      </c>
    </row>
    <row r="22" spans="1:84" s="613" customFormat="1" ht="12.6" customHeight="1" x14ac:dyDescent="0.25">
      <c r="A22" s="476"/>
      <c r="B22" s="612" t="s">
        <v>237</v>
      </c>
      <c r="C22" s="614">
        <f>GETPIVOTDATA("HH",'IDP location Analysis'!$B$9,"Township","Myitkyina")</f>
        <v>1471</v>
      </c>
      <c r="D22" s="615">
        <f>GETPIVOTDATA("Individuals",'IDP location Analysis'!$B$9,"Township","Myitkyina")</f>
        <v>7536</v>
      </c>
      <c r="E22" s="615">
        <f>'Shelter Gap Analysis'!H124+'Shelter Gap Analysis'!J124+'Shelter Gap Analysis'!K124</f>
        <v>881</v>
      </c>
      <c r="F22" s="616">
        <f>'Shelter Gap Analysis'!M124+'Shelter Gap Analysis'!P124</f>
        <v>65</v>
      </c>
      <c r="G22" s="614">
        <f t="shared" si="0"/>
        <v>816</v>
      </c>
      <c r="H22" s="617">
        <f t="shared" si="1"/>
        <v>7.3779795686719635E-2</v>
      </c>
      <c r="I22" s="476"/>
      <c r="J22" s="476"/>
      <c r="K22" s="476"/>
      <c r="L22" s="476"/>
      <c r="M22" s="476"/>
      <c r="N22" s="476"/>
      <c r="P22" s="360"/>
      <c r="Q22" s="360"/>
      <c r="R22" s="360"/>
      <c r="S22" s="360"/>
      <c r="T22" s="360"/>
      <c r="U22" s="360"/>
      <c r="V22" s="360"/>
      <c r="CC22" s="613" t="str">
        <f t="shared" si="2"/>
        <v>Manton</v>
      </c>
      <c r="CD22" s="475">
        <f>C17-Shelter_Draw[[#This Row],[V2]]-Shelter_Draw[[#This Row],[V3]]</f>
        <v>94</v>
      </c>
      <c r="CE22" s="475">
        <f t="shared" si="3"/>
        <v>0.92592592592592593</v>
      </c>
      <c r="CF22" s="475">
        <f t="shared" si="4"/>
        <v>3.074074074074074</v>
      </c>
    </row>
    <row r="23" spans="1:84" s="613" customFormat="1" ht="14.25" customHeight="1" x14ac:dyDescent="0.25">
      <c r="A23" s="476"/>
      <c r="B23" s="612" t="s">
        <v>1556</v>
      </c>
      <c r="C23" s="614">
        <f>GETPIVOTDATA("HH",'IDP location Analysis'!$B$9,"Township","Namhkan")</f>
        <v>398</v>
      </c>
      <c r="D23" s="615">
        <f>GETPIVOTDATA("Individuals",'IDP location Analysis'!$B$9,"Township","Namhkan")</f>
        <v>1960</v>
      </c>
      <c r="E23" s="615">
        <f>'Shelter Gap Analysis'!H130+'Shelter Gap Analysis'!J130+'Shelter Gap Analysis'!K130</f>
        <v>119</v>
      </c>
      <c r="F23" s="616">
        <f>'Shelter Gap Analysis'!M130+'Shelter Gap Analysis'!O130+'Shelter Gap Analysis'!P130</f>
        <v>23</v>
      </c>
      <c r="G23" s="614">
        <f t="shared" si="0"/>
        <v>96</v>
      </c>
      <c r="H23" s="617">
        <f t="shared" si="1"/>
        <v>0.19327731092436976</v>
      </c>
      <c r="I23" s="476"/>
      <c r="J23" s="476"/>
      <c r="K23" s="476"/>
      <c r="L23" s="476"/>
      <c r="M23" s="476"/>
      <c r="N23" s="476"/>
      <c r="P23" s="360"/>
      <c r="Q23" s="360"/>
      <c r="R23" s="360"/>
      <c r="S23" s="360"/>
      <c r="T23" s="360"/>
      <c r="U23" s="360"/>
      <c r="V23" s="360"/>
      <c r="CC23" s="613" t="str">
        <f t="shared" si="2"/>
        <v>Mogaung</v>
      </c>
      <c r="CD23" s="475" t="e">
        <f>C18-Shelter_Draw[[#This Row],[V2]]-Shelter_Draw[[#This Row],[V3]]</f>
        <v>#VALUE!</v>
      </c>
      <c r="CE23" s="475" t="str">
        <f t="shared" si="3"/>
        <v>no coverage</v>
      </c>
      <c r="CF23" s="475" t="e">
        <f t="shared" si="4"/>
        <v>#VALUE!</v>
      </c>
    </row>
    <row r="24" spans="1:84" s="613" customFormat="1" ht="15.75" customHeight="1" x14ac:dyDescent="0.25">
      <c r="A24" s="476"/>
      <c r="B24" s="612" t="s">
        <v>297</v>
      </c>
      <c r="C24" s="614">
        <f>GETPIVOTDATA("HH",'IDP location Analysis'!$B$9,"Township","Namtu")</f>
        <v>148</v>
      </c>
      <c r="D24" s="615">
        <f>GETPIVOTDATA("Individuals",'IDP location Analysis'!$B$9,"Township","Namtu")</f>
        <v>650</v>
      </c>
      <c r="E24" s="615">
        <f>'Shelter Gap Analysis'!H140+'Shelter Gap Analysis'!J140+'Shelter Gap Analysis'!K140</f>
        <v>91</v>
      </c>
      <c r="F24" s="616">
        <f>'Shelter Gap Analysis'!M140+'Shelter Gap Analysis'!O140+'Shelter Gap Analysis'!P140</f>
        <v>25</v>
      </c>
      <c r="G24" s="614">
        <f t="shared" si="0"/>
        <v>66</v>
      </c>
      <c r="H24" s="617">
        <f t="shared" si="1"/>
        <v>0.27472527472527475</v>
      </c>
      <c r="I24" s="476"/>
      <c r="J24" s="476"/>
      <c r="K24" s="476"/>
      <c r="L24" s="476"/>
      <c r="M24" s="476"/>
      <c r="N24" s="476"/>
      <c r="Q24" s="360"/>
      <c r="R24" s="360"/>
      <c r="S24" s="360"/>
      <c r="T24" s="360"/>
      <c r="U24" s="360"/>
      <c r="V24" s="360"/>
      <c r="CC24" s="613" t="str">
        <f t="shared" si="2"/>
        <v>Mohnyin</v>
      </c>
      <c r="CD24" s="475" t="e">
        <f>C19-Shelter_Draw[[#This Row],[V2]]-Shelter_Draw[[#This Row],[V3]]</f>
        <v>#VALUE!</v>
      </c>
      <c r="CE24" s="475" t="str">
        <f t="shared" si="3"/>
        <v>no coverage</v>
      </c>
      <c r="CF24" s="475" t="e">
        <f t="shared" si="4"/>
        <v>#VALUE!</v>
      </c>
    </row>
    <row r="25" spans="1:84" s="613" customFormat="1" ht="12.6" customHeight="1" x14ac:dyDescent="0.25">
      <c r="A25" s="476"/>
      <c r="B25" s="612" t="s">
        <v>299</v>
      </c>
      <c r="C25" s="614">
        <f>GETPIVOTDATA("HH",'IDP location Analysis'!$B$9,"Township","Puta-O")</f>
        <v>85</v>
      </c>
      <c r="D25" s="615">
        <f>GETPIVOTDATA("Individuals",'IDP location Analysis'!$B$9,"Township","Puta-O")</f>
        <v>412</v>
      </c>
      <c r="E25" s="615">
        <f>'Shelter Gap Analysis'!H142+'Shelter Gap Analysis'!J142+'Shelter Gap Analysis'!K142</f>
        <v>0</v>
      </c>
      <c r="F25" s="616">
        <f>'Shelter Gap Analysis'!M142+'Shelter Gap Analysis'!O142+'Shelter Gap Analysis'!P142</f>
        <v>0</v>
      </c>
      <c r="G25" s="614">
        <f t="shared" si="0"/>
        <v>0</v>
      </c>
      <c r="H25" s="617" t="str">
        <f t="shared" si="1"/>
        <v/>
      </c>
      <c r="I25" s="476"/>
      <c r="J25" s="476"/>
      <c r="K25" s="476"/>
      <c r="L25" s="476"/>
      <c r="M25" s="476"/>
      <c r="N25" s="476"/>
      <c r="Q25" s="360"/>
      <c r="R25" s="360"/>
      <c r="S25" s="360"/>
      <c r="T25" s="360"/>
      <c r="U25" s="360"/>
      <c r="V25" s="360"/>
      <c r="CC25" s="613" t="str">
        <f t="shared" si="2"/>
        <v>Momauk</v>
      </c>
      <c r="CD25" s="475">
        <f>C20-Shelter_Draw[[#This Row],[V2]]-Shelter_Draw[[#This Row],[V3]]</f>
        <v>4532</v>
      </c>
      <c r="CE25" s="475">
        <f t="shared" si="3"/>
        <v>0.40797546012269936</v>
      </c>
      <c r="CF25" s="475">
        <f t="shared" si="4"/>
        <v>192.59202453987731</v>
      </c>
    </row>
    <row r="26" spans="1:84" s="613" customFormat="1" ht="12.75" customHeight="1" x14ac:dyDescent="0.25">
      <c r="A26" s="476"/>
      <c r="B26" s="612" t="s">
        <v>1535</v>
      </c>
      <c r="C26" s="614">
        <f>GETPIVOTDATA("HH",'IDP location Analysis'!$B$9,"Township","Shwegu")</f>
        <v>507</v>
      </c>
      <c r="D26" s="615">
        <f>GETPIVOTDATA("Individuals",'IDP location Analysis'!$B$9,"Township","Shwegu")</f>
        <v>2177</v>
      </c>
      <c r="E26" s="615">
        <f>'Shelter Gap Analysis'!H145+'Shelter Gap Analysis'!J145+'Shelter Gap Analysis'!K145</f>
        <v>37</v>
      </c>
      <c r="F26" s="616">
        <f>'Shelter Gap Analysis'!M145+'Shelter Gap Analysis'!O145+'Shelter Gap Analysis'!P145</f>
        <v>0</v>
      </c>
      <c r="G26" s="614">
        <f t="shared" si="0"/>
        <v>37</v>
      </c>
      <c r="H26" s="617" t="str">
        <f t="shared" si="1"/>
        <v>no coverage</v>
      </c>
      <c r="I26" s="476"/>
      <c r="J26" s="476"/>
      <c r="K26" s="476"/>
      <c r="L26" s="476"/>
      <c r="M26" s="476"/>
      <c r="N26" s="476"/>
      <c r="P26" s="360"/>
      <c r="Q26" s="360"/>
      <c r="R26" s="360"/>
      <c r="S26" s="360"/>
      <c r="T26" s="360"/>
      <c r="U26" s="360"/>
      <c r="V26" s="360"/>
      <c r="CC26" s="613" t="str">
        <f t="shared" si="2"/>
        <v>Muse</v>
      </c>
      <c r="CD26" s="475">
        <f>C21-Shelter_Draw[[#This Row],[V2]]-Shelter_Draw[[#This Row],[V3]]</f>
        <v>237</v>
      </c>
      <c r="CE26" s="475">
        <f t="shared" si="3"/>
        <v>0.5714285714285714</v>
      </c>
      <c r="CF26" s="475">
        <f t="shared" si="4"/>
        <v>14.428571428571429</v>
      </c>
    </row>
    <row r="27" spans="1:84" s="613" customFormat="1" ht="12.75" customHeight="1" x14ac:dyDescent="0.25">
      <c r="A27" s="476"/>
      <c r="B27" s="612" t="s">
        <v>1536</v>
      </c>
      <c r="C27" s="614">
        <f>GETPIVOTDATA("HH",'IDP location Analysis'!$B$9,"Township","Sumprabum")</f>
        <v>138</v>
      </c>
      <c r="D27" s="615">
        <f>GETPIVOTDATA("Individuals",'IDP location Analysis'!$B$9,"Township","Sumprabum")</f>
        <v>764</v>
      </c>
      <c r="E27" s="615">
        <f>'Shelter Gap Analysis'!H148+'Shelter Gap Analysis'!J148+'Shelter Gap Analysis'!K148</f>
        <v>141</v>
      </c>
      <c r="F27" s="616">
        <f>'Shelter Gap Analysis'!M148+'Shelter Gap Analysis'!O148+'Shelter Gap Analysis'!P148</f>
        <v>0</v>
      </c>
      <c r="G27" s="614">
        <f t="shared" si="0"/>
        <v>141</v>
      </c>
      <c r="H27" s="617" t="str">
        <f t="shared" si="1"/>
        <v>no coverage</v>
      </c>
      <c r="I27" s="476"/>
      <c r="J27" s="476"/>
      <c r="K27" s="476"/>
      <c r="L27" s="476"/>
      <c r="M27" s="476"/>
      <c r="N27" s="476"/>
      <c r="P27" s="360"/>
      <c r="Q27" s="360"/>
      <c r="R27" s="360"/>
      <c r="S27" s="360"/>
      <c r="T27" s="360"/>
      <c r="U27" s="360"/>
      <c r="V27" s="360"/>
      <c r="CC27" s="613" t="str">
        <f t="shared" si="2"/>
        <v>Myitkyina</v>
      </c>
      <c r="CD27" s="475">
        <f>C22-Shelter_Draw[[#This Row],[V2]]-Shelter_Draw[[#This Row],[V3]]</f>
        <v>1470.9262202043133</v>
      </c>
      <c r="CE27" s="475">
        <f t="shared" ref="CE27:CE32" si="5">I29</f>
        <v>0</v>
      </c>
      <c r="CF27" s="475">
        <f t="shared" ref="CF27" si="6">H22-I29</f>
        <v>7.3779795686719635E-2</v>
      </c>
    </row>
    <row r="28" spans="1:84" s="613" customFormat="1" ht="12.75" customHeight="1" x14ac:dyDescent="0.25">
      <c r="A28" s="476"/>
      <c r="B28" s="612" t="s">
        <v>1165</v>
      </c>
      <c r="C28" s="614">
        <f>GETPIVOTDATA("HH",'IDP location Analysis'!$B$9,"Township","Tanai")</f>
        <v>289</v>
      </c>
      <c r="D28" s="615">
        <f>GETPIVOTDATA("Individuals",'IDP location Analysis'!$B$9,"Township","Tanai")</f>
        <v>992</v>
      </c>
      <c r="E28" s="615"/>
      <c r="F28" s="616"/>
      <c r="G28" s="614">
        <f t="shared" ref="G28" si="7">E28-F28</f>
        <v>0</v>
      </c>
      <c r="H28" s="617" t="str">
        <f t="shared" ref="H28" si="8">IF(AND(E28=0,F28=0),"",IF((IFERROR(F28/E28,0))=0,"no coverage",F28/E28))</f>
        <v/>
      </c>
      <c r="I28" s="476"/>
      <c r="J28" s="476"/>
      <c r="K28" s="476"/>
      <c r="L28" s="476"/>
      <c r="M28" s="476"/>
      <c r="N28" s="476"/>
      <c r="P28" s="360"/>
      <c r="Q28" s="360"/>
      <c r="R28" s="360"/>
      <c r="S28" s="360"/>
      <c r="T28" s="360"/>
      <c r="U28" s="360"/>
      <c r="V28" s="360"/>
      <c r="CC28" s="613" t="str">
        <f t="shared" si="2"/>
        <v>Nam Kham</v>
      </c>
      <c r="CD28" s="475" t="e">
        <f>C23-Shelter_Draw[[#This Row],[V2]]-Shelter_Draw[[#This Row],[V3]]</f>
        <v>#REF!</v>
      </c>
      <c r="CE28" s="475" t="e">
        <f>#REF!</f>
        <v>#REF!</v>
      </c>
      <c r="CF28" s="475" t="e">
        <f>H23-#REF!</f>
        <v>#REF!</v>
      </c>
    </row>
    <row r="29" spans="1:84" s="613" customFormat="1" ht="12.75" customHeight="1" x14ac:dyDescent="0.25">
      <c r="A29" s="476"/>
      <c r="B29" s="612" t="s">
        <v>309</v>
      </c>
      <c r="C29" s="614">
        <f>GETPIVOTDATA("HH",'IDP location Analysis'!$B$9,"Township","Waingmaw")</f>
        <v>4781</v>
      </c>
      <c r="D29" s="615">
        <f>GETPIVOTDATA("Individuals",'IDP location Analysis'!$B$9,"Township","Waingmaw")</f>
        <v>24492</v>
      </c>
      <c r="E29" s="615">
        <f>'Shelter Gap Analysis'!H171+'Shelter Gap Analysis'!J171+'Shelter Gap Analysis'!K171</f>
        <v>1277</v>
      </c>
      <c r="F29" s="616">
        <f>'Shelter Gap Analysis'!M171+'Shelter Gap Analysis'!O171+'Shelter Gap Analysis'!P171</f>
        <v>344</v>
      </c>
      <c r="G29" s="614">
        <f>E29-F29</f>
        <v>933</v>
      </c>
      <c r="H29" s="617">
        <f>IF(AND(E29=0,F29=0),"",IF((IFERROR(F29/E29,0))=0,"no coverage",F29/E29))</f>
        <v>0.26938136256851997</v>
      </c>
      <c r="I29" s="476"/>
      <c r="J29" s="476"/>
      <c r="K29" s="476"/>
      <c r="L29" s="476"/>
      <c r="M29" s="476"/>
      <c r="N29" s="476"/>
      <c r="P29" s="360"/>
      <c r="Q29" s="360"/>
      <c r="R29" s="360"/>
      <c r="S29" s="360"/>
      <c r="T29" s="360"/>
      <c r="U29" s="360"/>
      <c r="V29" s="360"/>
      <c r="CC29" s="613" t="str">
        <f t="shared" si="2"/>
        <v>Namtu</v>
      </c>
      <c r="CD29" s="475">
        <f>C24-Shelter_Draw[[#This Row],[V2]]-Shelter_Draw[[#This Row],[V3]]</f>
        <v>147.72527472527472</v>
      </c>
      <c r="CE29" s="475">
        <f>I31</f>
        <v>0</v>
      </c>
      <c r="CF29" s="475">
        <f>H24-I31</f>
        <v>0.27472527472527475</v>
      </c>
    </row>
    <row r="30" spans="1:84" s="613" customFormat="1" ht="12.75" customHeight="1" x14ac:dyDescent="0.25">
      <c r="A30" s="476"/>
      <c r="B30" s="612" t="s">
        <v>3</v>
      </c>
      <c r="C30" s="475">
        <f>SUM(C10:C29)</f>
        <v>19507</v>
      </c>
      <c r="D30" s="763">
        <f>SUM(D10:D29)</f>
        <v>98675</v>
      </c>
      <c r="E30" s="763">
        <f>SUM(E10:E29)</f>
        <v>5597</v>
      </c>
      <c r="F30" s="764">
        <f>SUM(F10:F29)</f>
        <v>991</v>
      </c>
      <c r="G30" s="475">
        <f>SUM(G10:G29)</f>
        <v>4606</v>
      </c>
      <c r="H30" s="617">
        <f>IF(AND(E30=0,F30=0),"",IF((IFERROR(F30/E30,0))=0,"no coverage",F30/E30))</f>
        <v>0.17705913882437019</v>
      </c>
      <c r="I30" s="476"/>
      <c r="J30" s="476"/>
      <c r="K30" s="476"/>
      <c r="L30" s="476"/>
      <c r="M30" s="476"/>
      <c r="N30" s="476"/>
      <c r="P30" s="360"/>
      <c r="Q30" s="360"/>
      <c r="R30" s="360"/>
      <c r="S30" s="360"/>
      <c r="T30" s="360"/>
      <c r="U30" s="360"/>
      <c r="V30" s="360"/>
      <c r="CC30" s="613" t="str">
        <f>B23</f>
        <v>Nam Kham</v>
      </c>
      <c r="CD30" s="475">
        <f>C23-Shelter_Draw[[#This Row],[V2]]-Shelter_Draw[[#This Row],[V3]]</f>
        <v>302</v>
      </c>
      <c r="CE30" s="475">
        <f>H23</f>
        <v>0.19327731092436976</v>
      </c>
      <c r="CF30" s="475">
        <f>G23-H23</f>
        <v>95.806722689075627</v>
      </c>
    </row>
    <row r="31" spans="1:84" s="613" customFormat="1" ht="9.75" customHeight="1" thickBot="1" x14ac:dyDescent="0.3">
      <c r="A31" s="476"/>
      <c r="B31" s="621" t="s">
        <v>1560</v>
      </c>
      <c r="C31" s="209"/>
      <c r="D31" s="209"/>
      <c r="E31" s="209"/>
      <c r="F31" s="209"/>
      <c r="G31" s="209"/>
      <c r="H31" s="266"/>
      <c r="I31" s="476"/>
      <c r="J31" s="476"/>
      <c r="K31" s="476"/>
      <c r="L31" s="476"/>
      <c r="M31" s="476"/>
      <c r="N31" s="476"/>
      <c r="P31" s="360"/>
      <c r="Q31" s="360"/>
      <c r="R31" s="360"/>
      <c r="S31" s="360"/>
      <c r="T31" s="360"/>
      <c r="U31" s="360"/>
      <c r="V31" s="360"/>
      <c r="CC31" s="613" t="str">
        <f>B26</f>
        <v>Shwe Gu</v>
      </c>
      <c r="CD31" s="475" t="e">
        <f>C26-Shelter_Draw[[#This Row],[V2]]-Shelter_Draw[[#This Row],[V3]]</f>
        <v>#VALUE!</v>
      </c>
      <c r="CE31" s="475">
        <f t="shared" si="5"/>
        <v>0</v>
      </c>
      <c r="CF31" s="475" t="e">
        <f>H26-I33</f>
        <v>#VALUE!</v>
      </c>
    </row>
    <row r="32" spans="1:84" s="613" customFormat="1" ht="9.75" customHeight="1" x14ac:dyDescent="0.25">
      <c r="A32" s="476"/>
      <c r="B32" s="871" t="s">
        <v>1602</v>
      </c>
      <c r="C32" s="872"/>
      <c r="D32" s="872"/>
      <c r="E32" s="872"/>
      <c r="F32" s="872"/>
      <c r="G32" s="872"/>
      <c r="H32" s="873"/>
      <c r="I32" s="476"/>
      <c r="J32" s="476"/>
      <c r="K32" s="476"/>
      <c r="L32" s="476"/>
      <c r="M32" s="476"/>
      <c r="N32" s="476"/>
      <c r="P32" s="360"/>
      <c r="Q32" s="360"/>
      <c r="R32" s="360"/>
      <c r="S32" s="360"/>
      <c r="T32" s="360"/>
      <c r="U32" s="360"/>
      <c r="V32" s="360"/>
      <c r="CC32" s="613" t="str">
        <f>B27</f>
        <v>Sumbrabum</v>
      </c>
      <c r="CD32" s="475" t="e">
        <f>C27-Shelter_Draw[[#This Row],[V2]]-Shelter_Draw[[#This Row],[V3]]</f>
        <v>#VALUE!</v>
      </c>
      <c r="CE32" s="475">
        <f t="shared" si="5"/>
        <v>0</v>
      </c>
      <c r="CF32" s="475" t="e">
        <f>H27-I34</f>
        <v>#VALUE!</v>
      </c>
    </row>
    <row r="33" spans="1:22" s="613" customFormat="1" ht="12.75" customHeight="1" thickBot="1" x14ac:dyDescent="0.3">
      <c r="A33" s="476"/>
      <c r="B33" s="874"/>
      <c r="C33" s="875"/>
      <c r="D33" s="875"/>
      <c r="E33" s="875"/>
      <c r="F33" s="875"/>
      <c r="G33" s="875"/>
      <c r="H33" s="876"/>
      <c r="I33" s="476"/>
      <c r="J33" s="476"/>
      <c r="K33" s="476"/>
      <c r="L33" s="476"/>
      <c r="M33" s="476"/>
      <c r="N33" s="476"/>
      <c r="P33" s="360"/>
      <c r="Q33" s="360"/>
      <c r="R33" s="360"/>
      <c r="S33" s="360"/>
      <c r="T33" s="360"/>
      <c r="U33" s="360"/>
      <c r="V33" s="360"/>
    </row>
    <row r="34" spans="1:22" s="613" customFormat="1" ht="12.75" customHeight="1" thickBot="1" x14ac:dyDescent="0.3">
      <c r="A34" s="476"/>
      <c r="B34" s="735" t="s">
        <v>1451</v>
      </c>
      <c r="C34" s="877" t="s">
        <v>1561</v>
      </c>
      <c r="D34" s="877"/>
      <c r="E34" s="736"/>
      <c r="F34" s="737" t="s">
        <v>1451</v>
      </c>
      <c r="G34" s="877" t="s">
        <v>1561</v>
      </c>
      <c r="H34" s="878"/>
      <c r="I34" s="476"/>
      <c r="J34" s="476"/>
      <c r="K34" s="476"/>
      <c r="L34" s="476"/>
      <c r="M34" s="476"/>
      <c r="N34" s="476"/>
      <c r="P34" s="360"/>
      <c r="Q34" s="360"/>
      <c r="R34" s="360"/>
      <c r="S34" s="360"/>
      <c r="T34" s="360"/>
      <c r="U34" s="360"/>
      <c r="V34" s="360"/>
    </row>
    <row r="35" spans="1:22" s="613" customFormat="1" ht="12" customHeight="1" x14ac:dyDescent="0.25">
      <c r="A35" s="476"/>
      <c r="B35" s="209" t="s">
        <v>420</v>
      </c>
      <c r="C35" s="738"/>
      <c r="D35" s="768">
        <f>F30</f>
        <v>991</v>
      </c>
      <c r="E35" s="738"/>
      <c r="F35" s="738"/>
      <c r="G35" s="738"/>
      <c r="H35" s="767"/>
      <c r="I35" s="476"/>
      <c r="J35" s="476"/>
      <c r="K35" s="476"/>
      <c r="L35" s="476"/>
      <c r="M35" s="476"/>
      <c r="N35" s="476"/>
      <c r="P35" s="360"/>
      <c r="Q35" s="360"/>
      <c r="R35" s="360"/>
      <c r="S35" s="360"/>
      <c r="T35" s="360"/>
      <c r="U35" s="360"/>
      <c r="V35" s="360"/>
    </row>
    <row r="36" spans="1:22" ht="12" customHeight="1" x14ac:dyDescent="0.25">
      <c r="A36" s="266"/>
      <c r="B36" s="739"/>
      <c r="H36" s="740"/>
      <c r="I36" s="266"/>
      <c r="J36" s="266"/>
      <c r="K36" s="266"/>
      <c r="L36" s="266"/>
      <c r="M36" s="266"/>
      <c r="N36" s="266"/>
      <c r="O36" s="209"/>
      <c r="V36" s="360"/>
    </row>
    <row r="37" spans="1:22" ht="12" customHeight="1" x14ac:dyDescent="0.25">
      <c r="A37" s="266"/>
      <c r="B37" s="739" t="s">
        <v>1751</v>
      </c>
      <c r="D37" s="769">
        <v>80</v>
      </c>
      <c r="H37" s="768"/>
      <c r="I37" s="266"/>
      <c r="J37" s="266"/>
      <c r="K37" s="266"/>
      <c r="L37" s="266"/>
      <c r="M37" s="266"/>
      <c r="N37" s="266"/>
    </row>
    <row r="38" spans="1:22" ht="12" customHeight="1" x14ac:dyDescent="0.25">
      <c r="A38" s="266"/>
      <c r="B38" s="739" t="s">
        <v>1765</v>
      </c>
      <c r="D38" s="769">
        <v>23</v>
      </c>
      <c r="H38" s="740"/>
      <c r="I38" s="266"/>
      <c r="J38" s="266"/>
      <c r="K38" s="266"/>
      <c r="L38" s="266"/>
      <c r="M38" s="266"/>
      <c r="N38" s="266"/>
    </row>
    <row r="39" spans="1:22" ht="12.75" customHeight="1" x14ac:dyDescent="0.25">
      <c r="A39" s="266"/>
      <c r="B39" s="739"/>
      <c r="D39" s="769"/>
      <c r="I39" s="266"/>
      <c r="J39" s="266"/>
      <c r="K39" s="266"/>
      <c r="L39" s="266"/>
      <c r="M39" s="266"/>
      <c r="N39" s="266"/>
    </row>
    <row r="40" spans="1:22" ht="12.75" customHeight="1" x14ac:dyDescent="0.25">
      <c r="A40" s="266"/>
      <c r="B40" s="739"/>
      <c r="H40" s="740"/>
      <c r="I40" s="266"/>
      <c r="J40" s="266"/>
      <c r="K40" s="266"/>
      <c r="L40" s="266"/>
      <c r="M40" s="266"/>
      <c r="N40" s="266"/>
    </row>
    <row r="41" spans="1:22" ht="12.75" customHeight="1" x14ac:dyDescent="0.25">
      <c r="A41" s="266"/>
      <c r="B41" s="759"/>
      <c r="D41" s="769"/>
      <c r="H41" s="740"/>
      <c r="I41" s="266"/>
      <c r="J41" s="266"/>
      <c r="K41" s="266"/>
      <c r="L41" s="266"/>
      <c r="M41" s="266"/>
      <c r="N41" s="266"/>
    </row>
    <row r="42" spans="1:22" ht="6" customHeight="1" thickBot="1" x14ac:dyDescent="0.3">
      <c r="A42" s="266"/>
      <c r="B42" s="759"/>
      <c r="H42" s="740"/>
      <c r="I42" s="266"/>
      <c r="J42" s="266"/>
      <c r="K42" s="266"/>
      <c r="L42" s="266"/>
      <c r="M42" s="266"/>
      <c r="N42" s="266"/>
    </row>
    <row r="43" spans="1:22" ht="24" customHeight="1" thickBot="1" x14ac:dyDescent="0.3">
      <c r="A43" s="760"/>
      <c r="B43" s="736"/>
      <c r="C43" s="736"/>
      <c r="D43" s="736"/>
      <c r="E43" s="736"/>
      <c r="F43" s="736"/>
      <c r="G43" s="736"/>
      <c r="H43" s="736"/>
      <c r="I43" s="736"/>
      <c r="J43" s="736"/>
      <c r="K43" s="736"/>
      <c r="L43" s="736"/>
      <c r="M43" s="736"/>
      <c r="N43" s="761"/>
    </row>
    <row r="45" spans="1:22" ht="14.25" customHeight="1" x14ac:dyDescent="0.25"/>
    <row r="46" spans="1:22" ht="18" customHeight="1" x14ac:dyDescent="0.25"/>
    <row r="47" spans="1:22" ht="30.75" customHeight="1" x14ac:dyDescent="0.25"/>
  </sheetData>
  <dataConsolidate link="1"/>
  <mergeCells count="5">
    <mergeCell ref="B3:I3"/>
    <mergeCell ref="B32:H33"/>
    <mergeCell ref="C34:D34"/>
    <mergeCell ref="G34:H34"/>
    <mergeCell ref="B2:J2"/>
  </mergeCells>
  <conditionalFormatting sqref="H10:H27 H29:H30">
    <cfRule type="containsText" dxfId="554" priority="2" operator="containsText" text="no coverage">
      <formula>NOT(ISERROR(SEARCH("no coverage",H10)))</formula>
    </cfRule>
  </conditionalFormatting>
  <conditionalFormatting sqref="H28">
    <cfRule type="containsText" dxfId="553" priority="1" operator="containsText" text="no coverage">
      <formula>NOT(ISERROR(SEARCH("no coverage",H28)))</formula>
    </cfRule>
  </conditionalFormatting>
  <printOptions horizontalCentered="1" verticalCentered="1"/>
  <pageMargins left="0" right="0" top="0" bottom="0" header="0" footer="0"/>
  <pageSetup paperSize="9" scale="92" orientation="landscape" horizontalDpi="1200" verticalDpi="1200" r:id="rId1"/>
  <rowBreaks count="1" manualBreakCount="1">
    <brk id="51"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H37"/>
  <sheetViews>
    <sheetView showGridLines="0" workbookViewId="0">
      <selection activeCell="F16" sqref="F16"/>
    </sheetView>
  </sheetViews>
  <sheetFormatPr defaultColWidth="5" defaultRowHeight="51.75" customHeight="1" x14ac:dyDescent="0.25"/>
  <cols>
    <col min="1" max="1" width="1.7109375" style="148" customWidth="1"/>
    <col min="2" max="6" width="12.28515625" style="148" customWidth="1"/>
    <col min="7" max="60" width="5.42578125" style="148" customWidth="1"/>
    <col min="61" max="16384" width="5" style="148"/>
  </cols>
  <sheetData>
    <row r="1" spans="2:60" ht="41.45" customHeight="1" thickBot="1" x14ac:dyDescent="0.3">
      <c r="B1" s="855" t="s">
        <v>1652</v>
      </c>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855"/>
      <c r="AP1" s="855"/>
      <c r="AQ1" s="855"/>
      <c r="AR1" s="855"/>
      <c r="AS1" s="855"/>
      <c r="AT1" s="855"/>
      <c r="AU1" s="855"/>
      <c r="AV1" s="855"/>
      <c r="AW1" s="855"/>
      <c r="AX1" s="855"/>
      <c r="AY1" s="855"/>
      <c r="AZ1" s="855"/>
      <c r="BA1" s="855"/>
      <c r="BB1" s="855"/>
      <c r="BC1" s="855"/>
      <c r="BD1" s="855"/>
      <c r="BE1" s="855"/>
      <c r="BF1" s="855"/>
      <c r="BG1" s="855"/>
      <c r="BH1" s="856"/>
    </row>
    <row r="2" spans="2:60" s="781" customFormat="1" ht="28.9" customHeight="1" thickBot="1" x14ac:dyDescent="0.3">
      <c r="B2" s="884" t="s">
        <v>405</v>
      </c>
      <c r="C2" s="886" t="s">
        <v>399</v>
      </c>
      <c r="D2" s="888" t="s">
        <v>409</v>
      </c>
      <c r="E2" s="890" t="s">
        <v>392</v>
      </c>
      <c r="F2" s="892" t="s">
        <v>0</v>
      </c>
      <c r="G2" s="882" t="s">
        <v>1653</v>
      </c>
      <c r="H2" s="882"/>
      <c r="I2" s="882"/>
      <c r="J2" s="881" t="s">
        <v>400</v>
      </c>
      <c r="K2" s="882"/>
      <c r="L2" s="883"/>
      <c r="M2" s="881" t="s">
        <v>401</v>
      </c>
      <c r="N2" s="882"/>
      <c r="O2" s="883"/>
      <c r="P2" s="893" t="s">
        <v>402</v>
      </c>
      <c r="Q2" s="894"/>
      <c r="R2" s="895"/>
      <c r="S2" s="894" t="s">
        <v>403</v>
      </c>
      <c r="T2" s="894"/>
      <c r="U2" s="894"/>
      <c r="V2" s="881" t="s">
        <v>415</v>
      </c>
      <c r="W2" s="882"/>
      <c r="X2" s="882"/>
      <c r="Y2" s="881" t="s">
        <v>416</v>
      </c>
      <c r="Z2" s="882"/>
      <c r="AA2" s="882"/>
      <c r="AB2" s="881" t="s">
        <v>1654</v>
      </c>
      <c r="AC2" s="882"/>
      <c r="AD2" s="882"/>
      <c r="AE2" s="881" t="s">
        <v>526</v>
      </c>
      <c r="AF2" s="882"/>
      <c r="AG2" s="883"/>
      <c r="AH2" s="881" t="s">
        <v>1657</v>
      </c>
      <c r="AI2" s="882"/>
      <c r="AJ2" s="883"/>
      <c r="AK2" s="881" t="s">
        <v>527</v>
      </c>
      <c r="AL2" s="882"/>
      <c r="AM2" s="883"/>
      <c r="AN2" s="882" t="s">
        <v>1115</v>
      </c>
      <c r="AO2" s="882"/>
      <c r="AP2" s="882"/>
      <c r="AQ2" s="881" t="s">
        <v>1655</v>
      </c>
      <c r="AR2" s="882"/>
      <c r="AS2" s="883"/>
      <c r="AT2" s="881" t="s">
        <v>1656</v>
      </c>
      <c r="AU2" s="882"/>
      <c r="AV2" s="883"/>
      <c r="AW2" s="881" t="s">
        <v>854</v>
      </c>
      <c r="AX2" s="882"/>
      <c r="AY2" s="882"/>
      <c r="AZ2" s="881" t="s">
        <v>858</v>
      </c>
      <c r="BA2" s="882"/>
      <c r="BB2" s="882"/>
      <c r="BC2" s="881" t="s">
        <v>862</v>
      </c>
      <c r="BD2" s="882"/>
      <c r="BE2" s="882"/>
      <c r="BF2" s="881" t="s">
        <v>955</v>
      </c>
      <c r="BG2" s="882"/>
      <c r="BH2" s="896"/>
    </row>
    <row r="3" spans="2:60" s="781" customFormat="1" ht="73.5" thickBot="1" x14ac:dyDescent="0.3">
      <c r="B3" s="885"/>
      <c r="C3" s="887"/>
      <c r="D3" s="889"/>
      <c r="E3" s="891"/>
      <c r="F3" s="887"/>
      <c r="G3" s="782" t="s">
        <v>404</v>
      </c>
      <c r="H3" s="783" t="s">
        <v>406</v>
      </c>
      <c r="I3" s="784" t="s">
        <v>407</v>
      </c>
      <c r="J3" s="782" t="s">
        <v>404</v>
      </c>
      <c r="K3" s="783" t="s">
        <v>406</v>
      </c>
      <c r="L3" s="784" t="s">
        <v>407</v>
      </c>
      <c r="M3" s="782" t="s">
        <v>404</v>
      </c>
      <c r="N3" s="783" t="s">
        <v>406</v>
      </c>
      <c r="O3" s="784" t="s">
        <v>407</v>
      </c>
      <c r="P3" s="782" t="s">
        <v>404</v>
      </c>
      <c r="Q3" s="783" t="s">
        <v>406</v>
      </c>
      <c r="R3" s="784" t="s">
        <v>407</v>
      </c>
      <c r="S3" s="782" t="s">
        <v>404</v>
      </c>
      <c r="T3" s="783" t="s">
        <v>406</v>
      </c>
      <c r="U3" s="784" t="s">
        <v>407</v>
      </c>
      <c r="V3" s="782" t="s">
        <v>404</v>
      </c>
      <c r="W3" s="783" t="s">
        <v>406</v>
      </c>
      <c r="X3" s="784" t="s">
        <v>407</v>
      </c>
      <c r="Y3" s="782" t="s">
        <v>404</v>
      </c>
      <c r="Z3" s="783" t="s">
        <v>406</v>
      </c>
      <c r="AA3" s="784" t="s">
        <v>407</v>
      </c>
      <c r="AB3" s="782" t="s">
        <v>404</v>
      </c>
      <c r="AC3" s="783" t="s">
        <v>406</v>
      </c>
      <c r="AD3" s="784" t="s">
        <v>407</v>
      </c>
      <c r="AE3" s="785" t="s">
        <v>404</v>
      </c>
      <c r="AF3" s="786" t="s">
        <v>406</v>
      </c>
      <c r="AG3" s="787" t="s">
        <v>407</v>
      </c>
      <c r="AH3" s="785" t="s">
        <v>404</v>
      </c>
      <c r="AI3" s="786" t="s">
        <v>406</v>
      </c>
      <c r="AJ3" s="787" t="s">
        <v>407</v>
      </c>
      <c r="AK3" s="785" t="s">
        <v>404</v>
      </c>
      <c r="AL3" s="786" t="s">
        <v>406</v>
      </c>
      <c r="AM3" s="787" t="s">
        <v>407</v>
      </c>
      <c r="AN3" s="785" t="s">
        <v>404</v>
      </c>
      <c r="AO3" s="786" t="s">
        <v>406</v>
      </c>
      <c r="AP3" s="787" t="s">
        <v>407</v>
      </c>
      <c r="AQ3" s="785" t="s">
        <v>404</v>
      </c>
      <c r="AR3" s="786" t="s">
        <v>406</v>
      </c>
      <c r="AS3" s="787" t="s">
        <v>407</v>
      </c>
      <c r="AT3" s="785" t="s">
        <v>404</v>
      </c>
      <c r="AU3" s="786" t="s">
        <v>406</v>
      </c>
      <c r="AV3" s="787" t="s">
        <v>407</v>
      </c>
      <c r="AW3" s="785" t="s">
        <v>404</v>
      </c>
      <c r="AX3" s="786" t="s">
        <v>406</v>
      </c>
      <c r="AY3" s="787" t="s">
        <v>407</v>
      </c>
      <c r="AZ3" s="785" t="s">
        <v>404</v>
      </c>
      <c r="BA3" s="786" t="s">
        <v>406</v>
      </c>
      <c r="BB3" s="787" t="s">
        <v>407</v>
      </c>
      <c r="BC3" s="785" t="s">
        <v>404</v>
      </c>
      <c r="BD3" s="786" t="s">
        <v>406</v>
      </c>
      <c r="BE3" s="787" t="s">
        <v>407</v>
      </c>
      <c r="BF3" s="785" t="s">
        <v>404</v>
      </c>
      <c r="BG3" s="786" t="s">
        <v>406</v>
      </c>
      <c r="BH3" s="787" t="s">
        <v>407</v>
      </c>
    </row>
    <row r="4" spans="2:60" s="154" customFormat="1" ht="15" x14ac:dyDescent="0.25">
      <c r="B4" s="788">
        <v>42975</v>
      </c>
      <c r="C4" s="789" t="s">
        <v>1296</v>
      </c>
      <c r="D4" s="789"/>
      <c r="E4" s="789" t="s">
        <v>378</v>
      </c>
      <c r="F4" s="789" t="s">
        <v>5</v>
      </c>
      <c r="G4" s="789">
        <v>271</v>
      </c>
      <c r="H4" s="789"/>
      <c r="I4" s="789"/>
      <c r="J4" s="789"/>
      <c r="K4" s="789"/>
      <c r="L4" s="789"/>
      <c r="M4" s="789">
        <v>186</v>
      </c>
      <c r="N4" s="789"/>
      <c r="O4" s="789"/>
      <c r="P4" s="789">
        <v>216</v>
      </c>
      <c r="Q4" s="789"/>
      <c r="R4" s="789"/>
      <c r="S4" s="789">
        <v>153</v>
      </c>
      <c r="T4" s="789"/>
      <c r="U4" s="789"/>
      <c r="V4" s="789">
        <v>224</v>
      </c>
      <c r="W4" s="789"/>
      <c r="X4" s="789"/>
      <c r="Y4" s="789">
        <v>90</v>
      </c>
      <c r="Z4" s="789"/>
      <c r="AA4" s="789"/>
      <c r="AB4" s="789"/>
      <c r="AC4" s="789"/>
      <c r="AD4" s="789"/>
      <c r="AE4" s="789">
        <v>55</v>
      </c>
      <c r="AF4" s="789"/>
      <c r="AG4" s="789"/>
      <c r="AH4" s="789"/>
      <c r="AI4" s="789"/>
      <c r="AJ4" s="789"/>
      <c r="AK4" s="789">
        <v>241</v>
      </c>
      <c r="AL4" s="789"/>
      <c r="AM4" s="789"/>
      <c r="AN4" s="789"/>
      <c r="AO4" s="789"/>
      <c r="AP4" s="789"/>
      <c r="AQ4" s="789"/>
      <c r="AR4" s="789"/>
      <c r="AS4" s="789"/>
      <c r="AT4" s="789"/>
      <c r="AU4" s="789"/>
      <c r="AV4" s="789"/>
      <c r="AW4" s="789">
        <v>15</v>
      </c>
      <c r="AX4" s="789"/>
      <c r="AY4" s="789"/>
      <c r="AZ4" s="779"/>
      <c r="BA4" s="789"/>
      <c r="BB4" s="789"/>
      <c r="BC4" s="779"/>
      <c r="BD4" s="789"/>
      <c r="BE4" s="789"/>
      <c r="BF4" s="789"/>
      <c r="BG4" s="789"/>
      <c r="BH4" s="790"/>
    </row>
    <row r="5" spans="2:60" s="154" customFormat="1" ht="15" x14ac:dyDescent="0.25">
      <c r="B5" s="791">
        <v>43008</v>
      </c>
      <c r="C5" s="779" t="s">
        <v>827</v>
      </c>
      <c r="D5" s="779"/>
      <c r="E5" s="779" t="s">
        <v>378</v>
      </c>
      <c r="F5" s="779" t="s">
        <v>237</v>
      </c>
      <c r="G5" s="779">
        <v>500</v>
      </c>
      <c r="H5" s="779"/>
      <c r="I5" s="779"/>
      <c r="J5" s="779"/>
      <c r="K5" s="779"/>
      <c r="L5" s="779"/>
      <c r="M5" s="779">
        <v>500</v>
      </c>
      <c r="N5" s="779"/>
      <c r="O5" s="779"/>
      <c r="P5" s="779"/>
      <c r="Q5" s="779"/>
      <c r="R5" s="779"/>
      <c r="S5" s="779">
        <v>500</v>
      </c>
      <c r="T5" s="779"/>
      <c r="U5" s="779"/>
      <c r="V5" s="779"/>
      <c r="W5" s="779"/>
      <c r="X5" s="779"/>
      <c r="Y5" s="779">
        <v>500</v>
      </c>
      <c r="Z5" s="779"/>
      <c r="AA5" s="779"/>
      <c r="AB5" s="779"/>
      <c r="AC5" s="779"/>
      <c r="AD5" s="779"/>
      <c r="AE5" s="779">
        <v>500</v>
      </c>
      <c r="AF5" s="779"/>
      <c r="AG5" s="779"/>
      <c r="AH5" s="779"/>
      <c r="AI5" s="779"/>
      <c r="AJ5" s="779"/>
      <c r="AK5" s="779"/>
      <c r="AL5" s="779"/>
      <c r="AM5" s="779"/>
      <c r="AN5" s="779"/>
      <c r="AO5" s="779"/>
      <c r="AP5" s="779"/>
      <c r="AQ5" s="779">
        <v>500</v>
      </c>
      <c r="AR5" s="779"/>
      <c r="AS5" s="779"/>
      <c r="AT5" s="779"/>
      <c r="AU5" s="779"/>
      <c r="AV5" s="779"/>
      <c r="AW5" s="779"/>
      <c r="AX5" s="779"/>
      <c r="AY5" s="779"/>
      <c r="AZ5" s="779"/>
      <c r="BA5" s="779"/>
      <c r="BB5" s="779"/>
      <c r="BC5" s="779"/>
      <c r="BD5" s="779"/>
      <c r="BE5" s="779"/>
      <c r="BF5" s="779"/>
      <c r="BG5" s="779"/>
      <c r="BH5" s="225"/>
    </row>
    <row r="6" spans="2:60" s="154" customFormat="1" ht="15" x14ac:dyDescent="0.25">
      <c r="B6" s="791">
        <v>42978</v>
      </c>
      <c r="C6" s="779" t="s">
        <v>775</v>
      </c>
      <c r="D6" s="779"/>
      <c r="E6" s="779" t="s">
        <v>378</v>
      </c>
      <c r="F6" s="779" t="s">
        <v>237</v>
      </c>
      <c r="G6" s="779"/>
      <c r="H6" s="779"/>
      <c r="I6" s="779"/>
      <c r="J6" s="779">
        <v>1000</v>
      </c>
      <c r="K6" s="779"/>
      <c r="L6" s="779"/>
      <c r="M6" s="779"/>
      <c r="N6" s="779"/>
      <c r="O6" s="779"/>
      <c r="P6" s="779">
        <v>1000</v>
      </c>
      <c r="Q6" s="779"/>
      <c r="R6" s="779"/>
      <c r="S6" s="779"/>
      <c r="T6" s="779"/>
      <c r="U6" s="779"/>
      <c r="V6" s="779">
        <v>1000</v>
      </c>
      <c r="W6" s="779"/>
      <c r="X6" s="779"/>
      <c r="Y6" s="779">
        <v>1000</v>
      </c>
      <c r="Z6" s="779"/>
      <c r="AA6" s="779"/>
      <c r="AB6" s="779"/>
      <c r="AC6" s="779"/>
      <c r="AD6" s="779"/>
      <c r="AE6" s="779">
        <v>1000</v>
      </c>
      <c r="AF6" s="779"/>
      <c r="AG6" s="779"/>
      <c r="AH6" s="779"/>
      <c r="AI6" s="779"/>
      <c r="AJ6" s="779"/>
      <c r="AK6" s="779">
        <v>1000</v>
      </c>
      <c r="AL6" s="779"/>
      <c r="AM6" s="779"/>
      <c r="AN6" s="779"/>
      <c r="AO6" s="779"/>
      <c r="AP6" s="779"/>
      <c r="AQ6" s="779"/>
      <c r="AR6" s="779"/>
      <c r="AS6" s="779"/>
      <c r="AT6" s="779"/>
      <c r="AU6" s="779"/>
      <c r="AV6" s="779"/>
      <c r="AW6" s="779"/>
      <c r="AX6" s="779"/>
      <c r="AY6" s="779"/>
      <c r="AZ6" s="779"/>
      <c r="BA6" s="779"/>
      <c r="BB6" s="779"/>
      <c r="BC6" s="779"/>
      <c r="BD6" s="779"/>
      <c r="BE6" s="779"/>
      <c r="BF6" s="779"/>
      <c r="BG6" s="779"/>
      <c r="BH6" s="225"/>
    </row>
    <row r="7" spans="2:60" s="154" customFormat="1" ht="15" x14ac:dyDescent="0.25">
      <c r="B7" s="791" t="s">
        <v>1658</v>
      </c>
      <c r="C7" s="779" t="s">
        <v>420</v>
      </c>
      <c r="D7" s="779" t="s">
        <v>1483</v>
      </c>
      <c r="E7" s="779" t="s">
        <v>507</v>
      </c>
      <c r="F7" s="779" t="s">
        <v>718</v>
      </c>
      <c r="G7" s="779">
        <v>10</v>
      </c>
      <c r="H7" s="779">
        <v>50</v>
      </c>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79"/>
      <c r="AY7" s="779"/>
      <c r="AZ7" s="779"/>
      <c r="BA7" s="779"/>
      <c r="BB7" s="779"/>
      <c r="BC7" s="779"/>
      <c r="BD7" s="779"/>
      <c r="BE7" s="779"/>
      <c r="BF7" s="779"/>
      <c r="BG7" s="779"/>
      <c r="BH7" s="225"/>
    </row>
    <row r="8" spans="2:60" s="154" customFormat="1" ht="15" x14ac:dyDescent="0.25">
      <c r="B8" s="778">
        <v>42919</v>
      </c>
      <c r="C8" s="779" t="s">
        <v>420</v>
      </c>
      <c r="D8" s="779" t="s">
        <v>424</v>
      </c>
      <c r="E8" s="779" t="s">
        <v>378</v>
      </c>
      <c r="F8" s="779" t="s">
        <v>237</v>
      </c>
      <c r="G8" s="779"/>
      <c r="H8" s="779"/>
      <c r="I8" s="779"/>
      <c r="J8" s="3">
        <v>6</v>
      </c>
      <c r="K8" s="779"/>
      <c r="L8" s="779"/>
      <c r="M8" s="779"/>
      <c r="N8" s="779"/>
      <c r="O8" s="779"/>
      <c r="P8" s="779">
        <v>412</v>
      </c>
      <c r="Q8" s="779"/>
      <c r="R8" s="779"/>
      <c r="S8" s="779">
        <v>1</v>
      </c>
      <c r="T8" s="779"/>
      <c r="U8" s="779"/>
      <c r="V8" s="779">
        <v>7</v>
      </c>
      <c r="W8" s="779"/>
      <c r="X8" s="779"/>
      <c r="Y8" s="779">
        <v>67</v>
      </c>
      <c r="Z8" s="779"/>
      <c r="AA8" s="779"/>
      <c r="AB8" s="779"/>
      <c r="AC8" s="779"/>
      <c r="AD8" s="779"/>
      <c r="AE8" s="779">
        <v>24</v>
      </c>
      <c r="AF8" s="779"/>
      <c r="AG8" s="779"/>
      <c r="AH8" s="779">
        <v>1</v>
      </c>
      <c r="AI8" s="779"/>
      <c r="AJ8" s="779"/>
      <c r="AK8" s="779">
        <v>6</v>
      </c>
      <c r="AL8" s="779"/>
      <c r="AM8" s="779"/>
      <c r="AN8" s="779"/>
      <c r="AO8" s="779"/>
      <c r="AP8" s="779"/>
      <c r="AQ8" s="779"/>
      <c r="AR8" s="779"/>
      <c r="AS8" s="779"/>
      <c r="AT8" s="779"/>
      <c r="AU8" s="779"/>
      <c r="AV8" s="779"/>
      <c r="AW8" s="779"/>
      <c r="AX8" s="779"/>
      <c r="AY8" s="779"/>
      <c r="AZ8" s="779"/>
      <c r="BA8" s="779"/>
      <c r="BB8" s="779"/>
      <c r="BC8" s="779"/>
      <c r="BD8" s="779"/>
      <c r="BE8" s="779"/>
      <c r="BF8" s="779"/>
      <c r="BG8" s="779"/>
      <c r="BH8" s="225"/>
    </row>
    <row r="9" spans="2:60" ht="15" x14ac:dyDescent="0.25">
      <c r="B9" s="778">
        <v>42919</v>
      </c>
      <c r="C9" s="779" t="s">
        <v>420</v>
      </c>
      <c r="D9" s="779" t="s">
        <v>424</v>
      </c>
      <c r="E9" s="779" t="s">
        <v>1112</v>
      </c>
      <c r="F9" s="779" t="s">
        <v>230</v>
      </c>
      <c r="G9" s="779"/>
      <c r="H9" s="779"/>
      <c r="I9" s="779"/>
      <c r="J9" s="779">
        <v>156</v>
      </c>
      <c r="K9" s="779"/>
      <c r="L9" s="779"/>
      <c r="M9" s="779"/>
      <c r="N9" s="779"/>
      <c r="O9" s="779"/>
      <c r="P9" s="779">
        <v>508</v>
      </c>
      <c r="Q9" s="779"/>
      <c r="R9" s="779"/>
      <c r="S9" s="779">
        <v>19</v>
      </c>
      <c r="T9" s="779"/>
      <c r="U9" s="779"/>
      <c r="V9" s="779">
        <v>209</v>
      </c>
      <c r="W9" s="779"/>
      <c r="X9" s="779"/>
      <c r="Y9" s="779">
        <v>32</v>
      </c>
      <c r="Z9" s="779"/>
      <c r="AA9" s="779"/>
      <c r="AB9" s="779"/>
      <c r="AC9" s="779"/>
      <c r="AD9" s="779"/>
      <c r="AE9" s="779">
        <v>209</v>
      </c>
      <c r="AF9" s="779"/>
      <c r="AG9" s="779"/>
      <c r="AH9" s="779">
        <v>15</v>
      </c>
      <c r="AI9" s="779"/>
      <c r="AJ9" s="779"/>
      <c r="AK9" s="779">
        <v>663</v>
      </c>
      <c r="AL9" s="779"/>
      <c r="AM9" s="779"/>
      <c r="AN9" s="779">
        <v>33</v>
      </c>
      <c r="AO9" s="779"/>
      <c r="AP9" s="779"/>
      <c r="AQ9" s="779"/>
      <c r="AR9" s="779" t="s">
        <v>542</v>
      </c>
      <c r="AS9" s="779"/>
      <c r="AT9" s="779"/>
      <c r="AU9" s="779"/>
      <c r="AV9" s="779"/>
      <c r="AW9" s="779"/>
      <c r="AX9" s="779"/>
      <c r="AY9" s="779"/>
      <c r="AZ9" s="779">
        <v>465</v>
      </c>
      <c r="BA9" s="779"/>
      <c r="BB9" s="779"/>
      <c r="BC9" s="779"/>
      <c r="BD9" s="779"/>
      <c r="BE9" s="779"/>
      <c r="BF9" s="779"/>
      <c r="BG9" s="779"/>
      <c r="BH9" s="225"/>
    </row>
    <row r="10" spans="2:60" ht="15" x14ac:dyDescent="0.25">
      <c r="B10" s="778">
        <v>42919</v>
      </c>
      <c r="C10" s="779" t="s">
        <v>420</v>
      </c>
      <c r="D10" s="779" t="s">
        <v>424</v>
      </c>
      <c r="E10" s="779" t="s">
        <v>1113</v>
      </c>
      <c r="F10" s="779" t="s">
        <v>1114</v>
      </c>
      <c r="G10" s="779"/>
      <c r="H10" s="779"/>
      <c r="I10" s="779"/>
      <c r="J10" s="779">
        <v>20</v>
      </c>
      <c r="K10" s="779"/>
      <c r="L10" s="779"/>
      <c r="M10" s="779">
        <v>32</v>
      </c>
      <c r="N10" s="779"/>
      <c r="O10" s="779"/>
      <c r="P10" s="779">
        <v>32</v>
      </c>
      <c r="Q10" s="779"/>
      <c r="R10" s="779"/>
      <c r="S10" s="779">
        <v>1</v>
      </c>
      <c r="T10" s="779"/>
      <c r="U10" s="779"/>
      <c r="V10" s="779">
        <v>382</v>
      </c>
      <c r="W10" s="779"/>
      <c r="X10" s="779"/>
      <c r="Y10" s="779">
        <v>17</v>
      </c>
      <c r="Z10" s="779"/>
      <c r="AA10" s="779"/>
      <c r="AB10" s="779"/>
      <c r="AC10" s="779"/>
      <c r="AD10" s="779"/>
      <c r="AE10" s="779">
        <v>24</v>
      </c>
      <c r="AF10" s="779"/>
      <c r="AG10" s="779"/>
      <c r="AH10" s="779">
        <v>15</v>
      </c>
      <c r="AI10" s="779"/>
      <c r="AJ10" s="779"/>
      <c r="AK10" s="779">
        <v>605</v>
      </c>
      <c r="AL10" s="779"/>
      <c r="AM10" s="779"/>
      <c r="AN10" s="779">
        <v>41</v>
      </c>
      <c r="AO10" s="779"/>
      <c r="AP10" s="779"/>
      <c r="AQ10" s="779"/>
      <c r="AR10" s="779"/>
      <c r="AS10" s="779"/>
      <c r="AT10" s="779"/>
      <c r="AU10" s="779"/>
      <c r="AV10" s="779"/>
      <c r="AW10" s="779"/>
      <c r="AX10" s="779"/>
      <c r="AY10" s="779"/>
      <c r="AZ10" s="780"/>
      <c r="BA10" s="779"/>
      <c r="BB10" s="779"/>
      <c r="BC10" s="780"/>
      <c r="BD10" s="779"/>
      <c r="BE10" s="779"/>
      <c r="BF10" s="779"/>
      <c r="BG10" s="779"/>
      <c r="BH10" s="225"/>
    </row>
    <row r="11" spans="2:60" ht="15" x14ac:dyDescent="0.25">
      <c r="B11" s="778">
        <v>42919</v>
      </c>
      <c r="C11" s="779" t="s">
        <v>420</v>
      </c>
      <c r="D11" s="779" t="s">
        <v>420</v>
      </c>
      <c r="E11" s="779" t="s">
        <v>378</v>
      </c>
      <c r="F11" s="779" t="s">
        <v>237</v>
      </c>
      <c r="G11" s="779"/>
      <c r="H11" s="779"/>
      <c r="I11" s="779"/>
      <c r="J11" s="779">
        <v>590</v>
      </c>
      <c r="K11" s="779"/>
      <c r="L11" s="779"/>
      <c r="M11" s="779">
        <v>82</v>
      </c>
      <c r="N11" s="779"/>
      <c r="O11" s="779"/>
      <c r="P11" s="780">
        <v>1198</v>
      </c>
      <c r="Q11" s="779"/>
      <c r="R11" s="779"/>
      <c r="S11" s="780">
        <v>711</v>
      </c>
      <c r="T11" s="779"/>
      <c r="U11" s="779"/>
      <c r="V11" s="780">
        <v>2257</v>
      </c>
      <c r="W11" s="779"/>
      <c r="X11" s="779"/>
      <c r="Y11" s="780">
        <v>672</v>
      </c>
      <c r="Z11" s="779"/>
      <c r="AA11" s="779"/>
      <c r="AB11" s="779"/>
      <c r="AC11" s="779"/>
      <c r="AD11" s="779"/>
      <c r="AE11" s="780">
        <v>554</v>
      </c>
      <c r="AF11" s="779"/>
      <c r="AG11" s="779"/>
      <c r="AH11" s="780">
        <v>241</v>
      </c>
      <c r="AI11" s="779"/>
      <c r="AJ11" s="779"/>
      <c r="AK11" s="780">
        <v>3185</v>
      </c>
      <c r="AL11" s="779"/>
      <c r="AM11" s="779"/>
      <c r="AN11" s="780">
        <v>68</v>
      </c>
      <c r="AO11" s="779"/>
      <c r="AP11" s="779"/>
      <c r="AQ11" s="779"/>
      <c r="AR11" s="779"/>
      <c r="AS11" s="779"/>
      <c r="AT11" s="779"/>
      <c r="AU11" s="779"/>
      <c r="AV11" s="779"/>
      <c r="AW11" s="780">
        <v>4805</v>
      </c>
      <c r="AX11" s="779"/>
      <c r="AY11" s="779"/>
      <c r="AZ11" s="779"/>
      <c r="BA11" s="779"/>
      <c r="BB11" s="779"/>
      <c r="BC11" s="779"/>
      <c r="BD11" s="779"/>
      <c r="BE11" s="779"/>
      <c r="BF11" s="779">
        <v>4148</v>
      </c>
      <c r="BG11" s="779"/>
      <c r="BH11" s="225"/>
    </row>
    <row r="12" spans="2:60" ht="15" x14ac:dyDescent="0.25">
      <c r="B12" s="811">
        <v>42919</v>
      </c>
      <c r="C12" s="812" t="s">
        <v>420</v>
      </c>
      <c r="D12" s="812" t="s">
        <v>420</v>
      </c>
      <c r="E12" s="812" t="s">
        <v>378</v>
      </c>
      <c r="F12" s="812" t="s">
        <v>5</v>
      </c>
      <c r="G12" s="189"/>
      <c r="H12" s="189"/>
      <c r="I12" s="189"/>
      <c r="J12" s="813">
        <v>879</v>
      </c>
      <c r="K12" s="779"/>
      <c r="L12" s="779"/>
      <c r="M12" s="779">
        <v>152</v>
      </c>
      <c r="N12" s="780"/>
      <c r="O12" s="779"/>
      <c r="P12" s="779">
        <v>584</v>
      </c>
      <c r="Q12" s="779"/>
      <c r="R12" s="779"/>
      <c r="S12" s="779">
        <v>575</v>
      </c>
      <c r="T12" s="779"/>
      <c r="U12" s="779"/>
      <c r="V12" s="779">
        <v>1098</v>
      </c>
      <c r="W12" s="779"/>
      <c r="X12" s="779"/>
      <c r="Y12" s="779">
        <v>117</v>
      </c>
      <c r="Z12" s="779"/>
      <c r="AA12" s="779"/>
      <c r="AB12" s="779"/>
      <c r="AC12" s="779"/>
      <c r="AD12" s="779"/>
      <c r="AE12" s="779">
        <v>216</v>
      </c>
      <c r="AF12" s="779"/>
      <c r="AG12" s="779"/>
      <c r="AH12" s="779">
        <v>1046</v>
      </c>
      <c r="AI12" s="779"/>
      <c r="AJ12" s="779"/>
      <c r="AK12" s="779">
        <v>434</v>
      </c>
      <c r="AL12" s="779"/>
      <c r="AM12" s="779"/>
      <c r="AN12" s="779">
        <v>50</v>
      </c>
      <c r="AO12" s="779"/>
      <c r="AP12" s="779"/>
      <c r="AQ12" s="779"/>
      <c r="AR12" s="779"/>
      <c r="AS12" s="779"/>
      <c r="AT12" s="779"/>
      <c r="AU12" s="779"/>
      <c r="AV12" s="779"/>
      <c r="AW12" s="779">
        <v>1972</v>
      </c>
      <c r="AX12" s="779"/>
      <c r="AY12" s="779"/>
      <c r="AZ12" s="779">
        <v>6112</v>
      </c>
      <c r="BA12" s="779"/>
      <c r="BB12" s="779"/>
      <c r="BC12" s="404"/>
      <c r="BD12" s="779"/>
      <c r="BE12" s="779"/>
      <c r="BF12" s="779">
        <v>3959</v>
      </c>
      <c r="BG12" s="779"/>
      <c r="BH12" s="225"/>
    </row>
    <row r="13" spans="2:60" ht="15" x14ac:dyDescent="0.25">
      <c r="B13" s="791">
        <v>43008</v>
      </c>
      <c r="C13" s="779" t="s">
        <v>1562</v>
      </c>
      <c r="D13" s="779" t="s">
        <v>424</v>
      </c>
      <c r="E13" s="779" t="s">
        <v>378</v>
      </c>
      <c r="F13" s="779" t="s">
        <v>5</v>
      </c>
      <c r="G13" s="779">
        <v>110</v>
      </c>
      <c r="H13" s="779">
        <v>0</v>
      </c>
      <c r="I13" s="779"/>
      <c r="J13" s="779">
        <v>124</v>
      </c>
      <c r="K13" s="779"/>
      <c r="L13" s="779"/>
      <c r="M13" s="779"/>
      <c r="N13" s="780"/>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404"/>
      <c r="BD13" s="779"/>
      <c r="BE13" s="779"/>
      <c r="BF13" s="779"/>
      <c r="BG13" s="779"/>
      <c r="BH13" s="225"/>
    </row>
    <row r="14" spans="2:60" ht="15" x14ac:dyDescent="0.25">
      <c r="B14" s="806" t="s">
        <v>1729</v>
      </c>
      <c r="C14" s="807"/>
      <c r="D14" s="807"/>
      <c r="E14" s="807"/>
      <c r="F14" s="807"/>
      <c r="G14" s="807">
        <f>SUM(G4:G13)</f>
        <v>891</v>
      </c>
      <c r="H14" s="807">
        <f>SUM(H4:H13)</f>
        <v>50</v>
      </c>
      <c r="I14" s="807"/>
      <c r="J14" s="807">
        <f>SUM(J4:J13)</f>
        <v>2775</v>
      </c>
      <c r="K14" s="807"/>
      <c r="L14" s="807"/>
      <c r="M14" s="807">
        <f>SUM(M4:M13)</f>
        <v>952</v>
      </c>
      <c r="N14" s="807"/>
      <c r="O14" s="807"/>
      <c r="P14" s="807">
        <f>SUM(P4:P13)</f>
        <v>3950</v>
      </c>
      <c r="Q14" s="807"/>
      <c r="R14" s="807"/>
      <c r="S14" s="807">
        <f>SUM(S4:S13)</f>
        <v>1960</v>
      </c>
      <c r="T14" s="807"/>
      <c r="U14" s="807"/>
      <c r="V14" s="807">
        <f>SUM(V4:V13)</f>
        <v>5177</v>
      </c>
      <c r="W14" s="807"/>
      <c r="X14" s="807"/>
      <c r="Y14" s="807">
        <f>SUM(Y4:Y13)</f>
        <v>2495</v>
      </c>
      <c r="Z14" s="807"/>
      <c r="AA14" s="807"/>
      <c r="AB14" s="807"/>
      <c r="AC14" s="807"/>
      <c r="AD14" s="807"/>
      <c r="AE14" s="807">
        <f>SUM(AE4:AE13)</f>
        <v>2582</v>
      </c>
      <c r="AF14" s="807"/>
      <c r="AG14" s="807"/>
      <c r="AH14" s="807">
        <f>SUM(AH4:AH13)</f>
        <v>1318</v>
      </c>
      <c r="AI14" s="807"/>
      <c r="AJ14" s="807"/>
      <c r="AK14" s="807">
        <f>SUM(AK4:AK13)</f>
        <v>6134</v>
      </c>
      <c r="AL14" s="807"/>
      <c r="AM14" s="807"/>
      <c r="AN14" s="807">
        <f>SUM(AN4:AN13)</f>
        <v>192</v>
      </c>
      <c r="AO14" s="807"/>
      <c r="AP14" s="807"/>
      <c r="AQ14" s="807">
        <f>SUM(AQ4:AQ13)</f>
        <v>500</v>
      </c>
      <c r="AR14" s="807"/>
      <c r="AS14" s="807"/>
      <c r="AT14" s="807"/>
      <c r="AU14" s="807"/>
      <c r="AV14" s="807"/>
      <c r="AW14" s="807">
        <f>SUM(AW4:AW13)</f>
        <v>6792</v>
      </c>
      <c r="AX14" s="807"/>
      <c r="AY14" s="807"/>
      <c r="AZ14" s="807">
        <f>SUM(AZ4:AZ13)</f>
        <v>6577</v>
      </c>
      <c r="BA14" s="807"/>
      <c r="BB14" s="807"/>
      <c r="BC14" s="807"/>
      <c r="BD14" s="807"/>
      <c r="BE14" s="807"/>
      <c r="BF14" s="807">
        <f>SUM(BF4:BF13)</f>
        <v>8107</v>
      </c>
      <c r="BG14" s="807"/>
      <c r="BH14" s="807"/>
    </row>
    <row r="15" spans="2:60" ht="15" x14ac:dyDescent="0.25">
      <c r="B15" s="168"/>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792"/>
    </row>
    <row r="16" spans="2:60" ht="15" x14ac:dyDescent="0.25">
      <c r="B16" s="168"/>
      <c r="C16" s="404"/>
      <c r="D16" s="404"/>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792"/>
    </row>
    <row r="17" spans="2:60" ht="15" x14ac:dyDescent="0.25">
      <c r="B17" s="168"/>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792"/>
    </row>
    <row r="18" spans="2:60" ht="15" x14ac:dyDescent="0.25">
      <c r="B18" s="168"/>
      <c r="C18" s="404"/>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792"/>
    </row>
    <row r="19" spans="2:60" ht="15" x14ac:dyDescent="0.25">
      <c r="B19" s="168"/>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792"/>
    </row>
    <row r="20" spans="2:60" ht="15" x14ac:dyDescent="0.25">
      <c r="B20" s="168"/>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792"/>
    </row>
    <row r="21" spans="2:60" ht="15" x14ac:dyDescent="0.25">
      <c r="B21" s="168"/>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792"/>
    </row>
    <row r="22" spans="2:60" ht="15" x14ac:dyDescent="0.25">
      <c r="B22" s="168"/>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792"/>
    </row>
    <row r="23" spans="2:60" ht="15" x14ac:dyDescent="0.25">
      <c r="B23" s="168"/>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792"/>
    </row>
    <row r="24" spans="2:60" ht="15" x14ac:dyDescent="0.25">
      <c r="B24" s="168"/>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792"/>
    </row>
    <row r="25" spans="2:60" ht="15" x14ac:dyDescent="0.25">
      <c r="B25" s="168"/>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792"/>
    </row>
    <row r="26" spans="2:60" ht="15" x14ac:dyDescent="0.25">
      <c r="B26" s="168"/>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792"/>
    </row>
    <row r="27" spans="2:60" ht="15" x14ac:dyDescent="0.25">
      <c r="B27" s="168"/>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792"/>
    </row>
    <row r="28" spans="2:60" ht="15" x14ac:dyDescent="0.25">
      <c r="B28" s="168"/>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792"/>
    </row>
    <row r="29" spans="2:60" ht="15" x14ac:dyDescent="0.25">
      <c r="B29" s="168"/>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792"/>
    </row>
    <row r="30" spans="2:60" ht="15" x14ac:dyDescent="0.25">
      <c r="B30" s="168"/>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792"/>
    </row>
    <row r="31" spans="2:60" ht="15" x14ac:dyDescent="0.25">
      <c r="B31" s="168"/>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792"/>
    </row>
    <row r="32" spans="2:60" ht="15" x14ac:dyDescent="0.25">
      <c r="B32" s="168"/>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792"/>
    </row>
    <row r="33" spans="2:60" ht="15" x14ac:dyDescent="0.25">
      <c r="B33" s="168"/>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792"/>
    </row>
    <row r="34" spans="2:60" ht="15" x14ac:dyDescent="0.25">
      <c r="B34" s="168"/>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792"/>
    </row>
    <row r="35" spans="2:60" ht="15" x14ac:dyDescent="0.25">
      <c r="B35" s="168"/>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792"/>
    </row>
    <row r="36" spans="2:60" ht="51.75" customHeight="1" x14ac:dyDescent="0.25">
      <c r="B36" s="168"/>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792"/>
    </row>
    <row r="37" spans="2:60" ht="51.75" customHeight="1" x14ac:dyDescent="0.25">
      <c r="B37" s="168"/>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792"/>
    </row>
  </sheetData>
  <mergeCells count="24">
    <mergeCell ref="B1:BH1"/>
    <mergeCell ref="B2:B3"/>
    <mergeCell ref="C2:C3"/>
    <mergeCell ref="D2:D3"/>
    <mergeCell ref="E2:E3"/>
    <mergeCell ref="F2:F3"/>
    <mergeCell ref="G2:I2"/>
    <mergeCell ref="J2:L2"/>
    <mergeCell ref="M2:O2"/>
    <mergeCell ref="P2:R2"/>
    <mergeCell ref="S2:U2"/>
    <mergeCell ref="V2:X2"/>
    <mergeCell ref="Y2:AA2"/>
    <mergeCell ref="AB2:AD2"/>
    <mergeCell ref="BF2:BH2"/>
    <mergeCell ref="AQ2:AS2"/>
    <mergeCell ref="BC2:BE2"/>
    <mergeCell ref="AK2:AM2"/>
    <mergeCell ref="AH2:AJ2"/>
    <mergeCell ref="AT2:AV2"/>
    <mergeCell ref="AE2:AG2"/>
    <mergeCell ref="AN2:AP2"/>
    <mergeCell ref="AW2:AY2"/>
    <mergeCell ref="AZ2:BB2"/>
  </mergeCell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data!$A$2:$A$15</xm:f>
          </x14:formula1>
          <xm:sqref>D14:D1048576 D1:D3 D5:D12</xm:sqref>
        </x14:dataValidation>
        <x14:dataValidation type="list" allowBlank="1" showInputMessage="1" showErrorMessage="1">
          <x14:formula1>
            <xm:f>data!$B$2:$B$3</xm:f>
          </x14:formula1>
          <xm:sqref>E14:E1048576 E1:E3 E5:E12</xm:sqref>
        </x14:dataValidation>
        <x14:dataValidation type="list" allowBlank="1" showInputMessage="1" showErrorMessage="1">
          <x14:formula1>
            <xm:f>data!$D$2:$D$22</xm:f>
          </x14:formula1>
          <xm:sqref>F14:F1048576 F1:F3 F5:F12</xm:sqref>
        </x14:dataValidation>
        <x14:dataValidation type="list" allowBlank="1" showInputMessage="1" showErrorMessage="1">
          <x14:formula1>
            <xm:f>data!$A$2:$A$17</xm:f>
          </x14:formula1>
          <xm:sqref>C14:C1048576 C1:C3 C5:C12</xm:sqref>
        </x14:dataValidation>
        <x14:dataValidation type="list" allowBlank="1" showInputMessage="1" showErrorMessage="1">
          <x14:formula1>
            <xm:f>[2]data!#REF!</xm:f>
          </x14:formula1>
          <xm:sqref>C13:F13</xm:sqref>
        </x14:dataValidation>
        <x14:dataValidation type="list" allowBlank="1" showInputMessage="1" showErrorMessage="1">
          <x14:formula1>
            <xm:f>[3]data!#REF!</xm:f>
          </x14:formula1>
          <xm:sqref>C4:F4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DN99"/>
  <sheetViews>
    <sheetView showGridLines="0" showZeros="0" zoomScale="80" zoomScaleNormal="80" workbookViewId="0">
      <pane xSplit="8" ySplit="5" topLeftCell="I6" activePane="bottomRight" state="frozen"/>
      <selection pane="topRight" activeCell="H1" sqref="H1"/>
      <selection pane="bottomLeft" activeCell="A6" sqref="A6"/>
      <selection pane="bottomRight" activeCell="K19" sqref="K19"/>
    </sheetView>
  </sheetViews>
  <sheetFormatPr defaultColWidth="8.85546875" defaultRowHeight="15" x14ac:dyDescent="0.25"/>
  <cols>
    <col min="1" max="1" width="1.28515625" style="219" customWidth="1"/>
    <col min="2" max="2" width="13.28515625" style="223" customWidth="1"/>
    <col min="3" max="3" width="15" style="219" customWidth="1"/>
    <col min="4" max="4" width="13.7109375" style="219" customWidth="1"/>
    <col min="5" max="5" width="13" style="219" customWidth="1"/>
    <col min="6" max="6" width="14.28515625" style="219" customWidth="1"/>
    <col min="7" max="7" width="31.140625" style="219" customWidth="1"/>
    <col min="8" max="9" width="11" style="219" customWidth="1"/>
    <col min="10" max="26" width="11" style="265" customWidth="1"/>
    <col min="27" max="27" width="17" style="41" hidden="1" customWidth="1"/>
    <col min="28" max="28" width="17.42578125" style="41" hidden="1" customWidth="1"/>
    <col min="29" max="29" width="12.28515625" style="41" hidden="1" customWidth="1"/>
    <col min="30" max="30" width="18.85546875" style="41" hidden="1" customWidth="1"/>
    <col min="31" max="31" width="15.28515625" style="41" hidden="1" customWidth="1"/>
    <col min="32" max="32" width="14" style="41" hidden="1" customWidth="1"/>
    <col min="33" max="33" width="17" style="41" hidden="1" customWidth="1"/>
    <col min="34" max="34" width="16.5703125" style="41" hidden="1" customWidth="1"/>
    <col min="35" max="35" width="19.28515625" style="41" hidden="1" customWidth="1"/>
    <col min="36" max="36" width="17" style="41" hidden="1" customWidth="1"/>
    <col min="37" max="37" width="25" style="41" hidden="1" customWidth="1"/>
    <col min="38" max="38" width="18" style="41" hidden="1" customWidth="1"/>
    <col min="39" max="39" width="24" style="41" hidden="1" customWidth="1"/>
    <col min="40" max="40" width="20.140625" style="41" hidden="1" customWidth="1"/>
    <col min="41" max="41" width="11.140625" style="41" hidden="1" customWidth="1"/>
    <col min="42" max="42" width="15.28515625" style="41" hidden="1" customWidth="1"/>
    <col min="43" max="43" width="3" style="41" hidden="1" customWidth="1"/>
    <col min="44" max="44" width="3.7109375" style="41" hidden="1" customWidth="1"/>
    <col min="45" max="45" width="14.85546875" style="219" customWidth="1"/>
    <col min="46" max="46" width="67.28515625" style="219" bestFit="1" customWidth="1"/>
    <col min="47" max="118" width="8.85546875" style="359"/>
    <col min="119" max="16384" width="8.85546875" style="219"/>
  </cols>
  <sheetData>
    <row r="1" spans="1:118" ht="7.9" customHeight="1" x14ac:dyDescent="0.25"/>
    <row r="2" spans="1:118" s="209" customFormat="1" ht="33" customHeight="1" x14ac:dyDescent="0.25">
      <c r="B2" s="899" t="s">
        <v>414</v>
      </c>
      <c r="C2" s="900"/>
      <c r="D2" s="900"/>
      <c r="E2" s="900"/>
      <c r="F2" s="900"/>
      <c r="G2" s="900"/>
      <c r="H2" s="900"/>
      <c r="I2" s="900"/>
      <c r="J2" s="900"/>
      <c r="K2" s="899"/>
      <c r="L2" s="900"/>
      <c r="M2" s="900"/>
      <c r="N2" s="900"/>
      <c r="O2" s="900" t="s">
        <v>542</v>
      </c>
      <c r="P2" s="900"/>
      <c r="Q2" s="900"/>
      <c r="R2" s="900"/>
      <c r="S2" s="900"/>
      <c r="T2" s="899"/>
      <c r="U2" s="900" t="s">
        <v>1252</v>
      </c>
      <c r="V2" s="900"/>
      <c r="W2" s="900"/>
      <c r="X2" s="900"/>
      <c r="Y2" s="900"/>
      <c r="Z2" s="900"/>
      <c r="AA2" s="900"/>
      <c r="AB2" s="900"/>
      <c r="AC2" s="899"/>
      <c r="AD2" s="900"/>
      <c r="AE2" s="900"/>
      <c r="AF2" s="900"/>
      <c r="AG2" s="900"/>
      <c r="AH2" s="900"/>
      <c r="AI2" s="900"/>
      <c r="AJ2" s="900"/>
      <c r="AK2" s="900"/>
      <c r="AL2" s="899"/>
      <c r="AM2" s="900"/>
      <c r="AN2" s="900"/>
      <c r="AO2" s="900"/>
      <c r="AP2" s="900"/>
      <c r="AQ2" s="900"/>
      <c r="AR2" s="900"/>
      <c r="AS2" s="900"/>
      <c r="AT2" s="611"/>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row>
    <row r="3" spans="1:118" s="44" customFormat="1" ht="18" customHeight="1" x14ac:dyDescent="0.25">
      <c r="A3" s="406"/>
      <c r="B3" s="901" t="s">
        <v>1752</v>
      </c>
      <c r="C3" s="902"/>
      <c r="D3" s="902"/>
      <c r="E3" s="902"/>
      <c r="F3" s="902"/>
      <c r="G3" s="902"/>
      <c r="H3" s="902"/>
      <c r="I3" s="902"/>
      <c r="J3" s="902"/>
      <c r="K3" s="899"/>
      <c r="L3" s="900"/>
      <c r="M3" s="900"/>
      <c r="N3" s="900"/>
      <c r="O3" s="900"/>
      <c r="P3" s="900"/>
      <c r="Q3" s="900"/>
      <c r="R3" s="900"/>
      <c r="S3" s="900"/>
      <c r="T3" s="899"/>
      <c r="U3" s="900"/>
      <c r="V3" s="900"/>
      <c r="W3" s="900"/>
      <c r="X3" s="900"/>
      <c r="Y3" s="900"/>
      <c r="Z3" s="900"/>
      <c r="AA3" s="900"/>
      <c r="AB3" s="900"/>
      <c r="AC3" s="899"/>
      <c r="AD3" s="900"/>
      <c r="AE3" s="900"/>
      <c r="AF3" s="900"/>
      <c r="AG3" s="900"/>
      <c r="AH3" s="900"/>
      <c r="AI3" s="900"/>
      <c r="AJ3" s="900"/>
      <c r="AK3" s="900"/>
      <c r="AL3" s="899"/>
      <c r="AM3" s="900"/>
      <c r="AN3" s="900"/>
      <c r="AO3" s="900"/>
      <c r="AP3" s="900"/>
      <c r="AQ3" s="900"/>
      <c r="AR3" s="900"/>
      <c r="AS3" s="900"/>
      <c r="AT3" s="611"/>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row>
    <row r="4" spans="1:118" s="44" customFormat="1" ht="18" hidden="1" customHeight="1" x14ac:dyDescent="0.25">
      <c r="A4" s="406"/>
      <c r="B4" s="897"/>
      <c r="C4" s="898"/>
      <c r="D4" s="898"/>
      <c r="E4" s="12"/>
      <c r="F4" s="12"/>
      <c r="G4" s="12"/>
      <c r="H4" s="12"/>
      <c r="I4" s="12"/>
      <c r="J4" s="39"/>
      <c r="K4" s="39"/>
      <c r="L4" s="39"/>
      <c r="M4" s="38"/>
      <c r="N4" s="39"/>
      <c r="O4" s="39"/>
      <c r="P4" s="39"/>
      <c r="Q4" s="39"/>
      <c r="R4" s="39"/>
      <c r="S4" s="39"/>
      <c r="T4" s="39"/>
      <c r="U4" s="39"/>
      <c r="V4" s="39"/>
      <c r="W4" s="39"/>
      <c r="X4" s="39"/>
      <c r="Y4" s="39"/>
      <c r="Z4" s="39"/>
      <c r="AA4" s="39"/>
      <c r="AB4" s="39"/>
      <c r="AC4" s="39"/>
      <c r="AD4" s="40"/>
      <c r="AE4" s="39"/>
      <c r="AF4" s="39"/>
      <c r="AG4" s="38"/>
      <c r="AH4" s="38"/>
      <c r="AI4" s="38"/>
      <c r="AJ4" s="38"/>
      <c r="AK4" s="38"/>
      <c r="AL4" s="38"/>
      <c r="AM4" s="38"/>
      <c r="AN4" s="38"/>
      <c r="AO4" s="38"/>
      <c r="AP4" s="38"/>
      <c r="AQ4" s="38"/>
      <c r="AR4" s="38"/>
      <c r="AT4" s="212"/>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row>
    <row r="5" spans="1:118" s="213" customFormat="1" ht="69.75" customHeight="1" x14ac:dyDescent="0.25">
      <c r="B5" s="124" t="s">
        <v>408</v>
      </c>
      <c r="C5" s="124" t="s">
        <v>1451</v>
      </c>
      <c r="D5" s="124" t="s">
        <v>409</v>
      </c>
      <c r="E5" s="124" t="s">
        <v>392</v>
      </c>
      <c r="F5" s="124" t="s">
        <v>0</v>
      </c>
      <c r="G5" s="124" t="s">
        <v>1740</v>
      </c>
      <c r="H5" s="124" t="s">
        <v>1563</v>
      </c>
      <c r="I5" s="124" t="s">
        <v>421</v>
      </c>
      <c r="J5" s="124" t="s">
        <v>400</v>
      </c>
      <c r="K5" s="124" t="s">
        <v>422</v>
      </c>
      <c r="L5" s="124" t="s">
        <v>537</v>
      </c>
      <c r="M5" s="124" t="s">
        <v>423</v>
      </c>
      <c r="N5" s="124" t="s">
        <v>415</v>
      </c>
      <c r="O5" s="124" t="s">
        <v>416</v>
      </c>
      <c r="P5" s="124" t="s">
        <v>1034</v>
      </c>
      <c r="Q5" s="124" t="s">
        <v>526</v>
      </c>
      <c r="R5" s="124" t="s">
        <v>527</v>
      </c>
      <c r="S5" s="124" t="s">
        <v>854</v>
      </c>
      <c r="T5" s="124" t="s">
        <v>858</v>
      </c>
      <c r="U5" s="124" t="s">
        <v>862</v>
      </c>
      <c r="V5" s="124" t="s">
        <v>955</v>
      </c>
      <c r="W5" s="124" t="s">
        <v>1091</v>
      </c>
      <c r="X5" s="124" t="s">
        <v>1597</v>
      </c>
      <c r="Y5" s="124" t="s">
        <v>1103</v>
      </c>
      <c r="Z5" s="124" t="s">
        <v>1104</v>
      </c>
      <c r="AA5" s="125" t="s">
        <v>973</v>
      </c>
      <c r="AB5" s="125" t="s">
        <v>974</v>
      </c>
      <c r="AC5" s="125" t="s">
        <v>975</v>
      </c>
      <c r="AD5" s="125" t="s">
        <v>976</v>
      </c>
      <c r="AE5" s="125" t="s">
        <v>978</v>
      </c>
      <c r="AF5" s="125" t="s">
        <v>977</v>
      </c>
      <c r="AG5" s="125" t="s">
        <v>1035</v>
      </c>
      <c r="AH5" s="125" t="s">
        <v>979</v>
      </c>
      <c r="AI5" s="125" t="s">
        <v>980</v>
      </c>
      <c r="AJ5" s="125" t="s">
        <v>981</v>
      </c>
      <c r="AK5" s="125" t="s">
        <v>982</v>
      </c>
      <c r="AL5" s="125" t="s">
        <v>983</v>
      </c>
      <c r="AM5" s="125" t="s">
        <v>984</v>
      </c>
      <c r="AN5" s="125" t="s">
        <v>987</v>
      </c>
      <c r="AO5" s="125" t="s">
        <v>1092</v>
      </c>
      <c r="AP5" s="125" t="s">
        <v>1197</v>
      </c>
      <c r="AQ5" s="125" t="s">
        <v>1198</v>
      </c>
      <c r="AR5" s="124" t="s">
        <v>512</v>
      </c>
      <c r="AS5" s="124" t="s">
        <v>456</v>
      </c>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row>
    <row r="6" spans="1:118" s="213" customFormat="1" ht="13.15" customHeight="1" x14ac:dyDescent="0.25">
      <c r="B6" s="749" t="s">
        <v>1758</v>
      </c>
      <c r="C6" s="627" t="s">
        <v>1567</v>
      </c>
      <c r="D6" s="802"/>
      <c r="E6" s="627" t="s">
        <v>378</v>
      </c>
      <c r="F6" s="627" t="s">
        <v>1165</v>
      </c>
      <c r="G6" s="627" t="s">
        <v>1757</v>
      </c>
      <c r="H6" s="626"/>
      <c r="I6" s="409">
        <v>31</v>
      </c>
      <c r="J6" s="409"/>
      <c r="K6" s="409"/>
      <c r="L6" s="409"/>
      <c r="M6" s="409"/>
      <c r="N6" s="409"/>
      <c r="O6" s="409"/>
      <c r="P6" s="409"/>
      <c r="Q6" s="409"/>
      <c r="R6" s="409"/>
      <c r="S6" s="409"/>
      <c r="T6" s="409"/>
      <c r="U6" s="409"/>
      <c r="V6" s="409"/>
      <c r="W6" s="410"/>
      <c r="X6" s="410"/>
      <c r="Y6" s="410"/>
      <c r="Z6" s="410"/>
      <c r="AA6" s="228" t="e">
        <f>IF(NFI_Expiration=1,IF(#REF!&lt;VLOOKUP(J$5,NFI,5,0),1,0)*Table_NFI[[#This Row],[NFI Core Kit]],Table_NFI[NFI Core Kit])</f>
        <v>#REF!</v>
      </c>
      <c r="AB6" s="228" t="e">
        <f>IF(NFI_Expiration=1,IF(#REF!&lt;VLOOKUP(K$5,NFI,5,0),1,0)*Table_NFI[[#This Row],[Sanitary Kit]],Table_NFI[Sanitary Kit])</f>
        <v>#REF!</v>
      </c>
      <c r="AC6" s="228" t="e">
        <f>IF(NFI_Expiration=1,IF(#REF!&lt;VLOOKUP(L$5,NFI,5,0),1,0)*Table_NFI[[#This Row],[Mosquito net]],Table_NFI[Mosquito net])</f>
        <v>#REF!</v>
      </c>
      <c r="AD6" s="228" t="e">
        <f>IF(NFI_Expiration=1,IF(#REF!&lt;VLOOKUP(M$5,NFI,5,0),1,0)*Table_NFI[[#This Row],[Tarpaulin]],Table_NFI[[#This Row],[Tarpaulin]])</f>
        <v>#REF!</v>
      </c>
      <c r="AE6" s="228" t="e">
        <f>IF(NFI_Expiration=1,IF(#REF!&lt;VLOOKUP(N$5,NFI,5,0),1,0)*Table_NFI[[#This Row],[Blanket]],Table_NFI[[#This Row],[Blanket]])</f>
        <v>#REF!</v>
      </c>
      <c r="AF6" s="228" t="e">
        <f>IF(NFI_Expiration=1,IF(#REF!&lt;VLOOKUP(O$5,NFI,5,0),1,0)*Table_NFI[[#This Row],[Kitchen Set]],Table_NFI[Kitchen Set])</f>
        <v>#REF!</v>
      </c>
      <c r="AG6" s="228" t="e">
        <f>IF(NFI_Expiration=1,IF(#REF!&lt;VLOOKUP(P$5,NFI,5,0),1,0)*Table_NFI[[#This Row],[Clothes Kit]],Table_NFI[Clothes Kit])</f>
        <v>#REF!</v>
      </c>
      <c r="AH6" s="228" t="e">
        <f>IF(NFI_Expiration=1,IF(#REF!&lt;VLOOKUP(Q$5,NFI,5,0),1,0)*Table_NFI[[#This Row],[Plastic Bucket]],Table_NFI[Plastic Bucket])</f>
        <v>#REF!</v>
      </c>
      <c r="AI6" s="228" t="e">
        <f>IF(NFI_Expiration=1,IF(#REF!&lt;VLOOKUP(R$5,NFI,5,0),1,0)*Table_NFI[[#This Row],[Plastic Mat]],Table_NFI[Plastic Mat])*IF(Table_NFI[[#This Row],[Distribution Date]]&gt;"2014-04-01",1,2.5)</f>
        <v>#REF!</v>
      </c>
      <c r="AJ6" s="228" t="e">
        <f>IF(NFI_Expiration=1,IF(#REF!&lt;VLOOKUP(S$5,NFI,5,0),1,0)*Table_NFI[[#This Row],[Winter Clothes Adult]],Table_NFI[Winter Clothes Adult])</f>
        <v>#REF!</v>
      </c>
      <c r="AK6" s="228" t="e">
        <f>IF(NFI_Expiration=1,IF(#REF!&lt;VLOOKUP(T$5,NFI,5,0),1,0)*Table_NFI[[#This Row],[Winter Clothes Children]],Table_NFI[Winter Clothes Children])</f>
        <v>#REF!</v>
      </c>
      <c r="AL6" s="228" t="e">
        <f>IF(NFI_Expiration=1,IF(#REF!&lt;VLOOKUP(U$5,NFI,5,0),1,0)*Table_NFI[[#This Row],[Winter Items Other]],Table_NFI[Winter Items Other])</f>
        <v>#REF!</v>
      </c>
      <c r="AM6" s="228" t="e">
        <f>IF(NFI_Expiration=1,IF(#REF!&lt;VLOOKUP(N$5,NFI,5,0),1,0)*Table_NFI[[#This Row],[Winter Blanket]],Table_NFI[[#This Row],[Winter Blanket]])</f>
        <v>#REF!</v>
      </c>
      <c r="AN6" s="228">
        <f>IF(Table_NFI[[#This Row],[Winter Clothes Adult]]+Table_NFI[[#This Row],[Winter Clothes Children]]+Table_NFI[[#This Row],[Winter Items Other]]+Table_NFI[[#This Row],[Winter Blanket]]&gt;0,1,0)</f>
        <v>0</v>
      </c>
      <c r="AO6" s="229" t="e">
        <f>IF(NFI_Expiration=1,IF(#REF!&lt;VLOOKUP(W$5,NFI,5,0),1,0)*Table_NFI[[#This Row],[Jerry Can]],Table_NFI[Jerry Can])</f>
        <v>#REF!</v>
      </c>
      <c r="AP6" s="229" t="e">
        <f>IF(NFI_Expiration=1,IF(#REF!&lt;VLOOKUP(W$5,NFI,5,0),1,0)*Table_NFI[[#This Row],[Shelter Tool kit]],Table_NFI[Shelter Tool kit])</f>
        <v>#REF!</v>
      </c>
      <c r="AQ6" s="229" t="e">
        <f>IF(NFI_Expiration=1,IF(#REF!&lt;VLOOKUP(W$5,NFI,5,0),1,0)*Table_NFI[[#This Row],[Tent]],Table_NFI[Tent])</f>
        <v>#REF!</v>
      </c>
      <c r="AR6" s="230" t="str">
        <f>IFERROR(VLOOKUP(Table_NFI[[#This Row],[Location]],CL,2,0),"")</f>
        <v/>
      </c>
      <c r="AS6" s="668"/>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0"/>
      <c r="CC6" s="390"/>
      <c r="CD6" s="390"/>
      <c r="CE6" s="390"/>
      <c r="CF6" s="390"/>
      <c r="CG6" s="390"/>
      <c r="CH6" s="390"/>
      <c r="CI6" s="390"/>
      <c r="CJ6" s="390"/>
      <c r="CK6" s="390"/>
      <c r="CL6" s="390"/>
      <c r="CM6" s="390"/>
      <c r="CN6" s="390"/>
      <c r="CO6" s="390"/>
      <c r="CP6" s="390"/>
      <c r="CQ6" s="390"/>
      <c r="CR6" s="390"/>
      <c r="CS6" s="390"/>
      <c r="CT6" s="390"/>
      <c r="CU6" s="390"/>
      <c r="CV6" s="390"/>
      <c r="CW6" s="390"/>
      <c r="CX6" s="390"/>
      <c r="CY6" s="390"/>
      <c r="CZ6" s="390"/>
      <c r="DA6" s="390"/>
      <c r="DB6" s="390"/>
      <c r="DC6" s="390"/>
      <c r="DD6" s="390"/>
      <c r="DE6" s="390"/>
      <c r="DF6" s="390"/>
      <c r="DG6" s="390"/>
      <c r="DH6" s="390"/>
      <c r="DI6" s="390"/>
      <c r="DJ6" s="390"/>
      <c r="DK6" s="390"/>
      <c r="DL6" s="390"/>
      <c r="DM6" s="390"/>
    </row>
    <row r="7" spans="1:118" s="213" customFormat="1" ht="13.15" customHeight="1" x14ac:dyDescent="0.25">
      <c r="B7" s="749" t="s">
        <v>1761</v>
      </c>
      <c r="C7" s="627" t="s">
        <v>420</v>
      </c>
      <c r="D7" s="627" t="s">
        <v>462</v>
      </c>
      <c r="E7" s="627" t="s">
        <v>378</v>
      </c>
      <c r="F7" s="627" t="s">
        <v>1762</v>
      </c>
      <c r="G7" s="627" t="s">
        <v>1763</v>
      </c>
      <c r="H7" s="626"/>
      <c r="I7" s="409"/>
      <c r="J7" s="409">
        <v>4</v>
      </c>
      <c r="K7" s="409">
        <v>4</v>
      </c>
      <c r="L7" s="409">
        <v>6</v>
      </c>
      <c r="M7" s="409">
        <v>4</v>
      </c>
      <c r="N7" s="409">
        <v>4</v>
      </c>
      <c r="O7" s="409">
        <v>3</v>
      </c>
      <c r="P7" s="409"/>
      <c r="Q7" s="409">
        <v>3</v>
      </c>
      <c r="R7" s="409">
        <v>5</v>
      </c>
      <c r="S7" s="409"/>
      <c r="T7" s="409"/>
      <c r="U7" s="409"/>
      <c r="V7" s="409"/>
      <c r="W7" s="410">
        <v>4</v>
      </c>
      <c r="X7" s="410"/>
      <c r="Y7" s="410"/>
      <c r="Z7" s="410"/>
      <c r="AA7" s="228" t="e">
        <f>IF(NFI_Expiration=1,IF(#REF!&lt;VLOOKUP(J$5,NFI,5,0),1,0)*Table_NFI[[#This Row],[NFI Core Kit]],Table_NFI[NFI Core Kit])</f>
        <v>#REF!</v>
      </c>
      <c r="AB7" s="228" t="e">
        <f>IF(NFI_Expiration=1,IF(#REF!&lt;VLOOKUP(K$5,NFI,5,0),1,0)*Table_NFI[[#This Row],[Sanitary Kit]],Table_NFI[Sanitary Kit])</f>
        <v>#REF!</v>
      </c>
      <c r="AC7" s="228" t="e">
        <f>IF(NFI_Expiration=1,IF(#REF!&lt;VLOOKUP(L$5,NFI,5,0),1,0)*Table_NFI[[#This Row],[Mosquito net]],Table_NFI[Mosquito net])</f>
        <v>#REF!</v>
      </c>
      <c r="AD7" s="228" t="e">
        <f>IF(NFI_Expiration=1,IF(#REF!&lt;VLOOKUP(M$5,NFI,5,0),1,0)*Table_NFI[[#This Row],[Tarpaulin]],Table_NFI[[#This Row],[Tarpaulin]])</f>
        <v>#REF!</v>
      </c>
      <c r="AE7" s="228" t="e">
        <f>IF(NFI_Expiration=1,IF(#REF!&lt;VLOOKUP(N$5,NFI,5,0),1,0)*Table_NFI[[#This Row],[Blanket]],Table_NFI[[#This Row],[Blanket]])</f>
        <v>#REF!</v>
      </c>
      <c r="AF7" s="228" t="e">
        <f>IF(NFI_Expiration=1,IF(#REF!&lt;VLOOKUP(O$5,NFI,5,0),1,0)*Table_NFI[[#This Row],[Kitchen Set]],Table_NFI[Kitchen Set])</f>
        <v>#REF!</v>
      </c>
      <c r="AG7" s="228" t="e">
        <f>IF(NFI_Expiration=1,IF(#REF!&lt;VLOOKUP(P$5,NFI,5,0),1,0)*Table_NFI[[#This Row],[Clothes Kit]],Table_NFI[Clothes Kit])</f>
        <v>#REF!</v>
      </c>
      <c r="AH7" s="228" t="e">
        <f>IF(NFI_Expiration=1,IF(#REF!&lt;VLOOKUP(Q$5,NFI,5,0),1,0)*Table_NFI[[#This Row],[Plastic Bucket]],Table_NFI[Plastic Bucket])</f>
        <v>#REF!</v>
      </c>
      <c r="AI7" s="228" t="e">
        <f>IF(NFI_Expiration=1,IF(#REF!&lt;VLOOKUP(R$5,NFI,5,0),1,0)*Table_NFI[[#This Row],[Plastic Mat]],Table_NFI[Plastic Mat])*IF(Table_NFI[[#This Row],[Distribution Date]]&gt;"2014-04-01",1,2.5)</f>
        <v>#REF!</v>
      </c>
      <c r="AJ7" s="228" t="e">
        <f>IF(NFI_Expiration=1,IF(#REF!&lt;VLOOKUP(S$5,NFI,5,0),1,0)*Table_NFI[[#This Row],[Winter Clothes Adult]],Table_NFI[Winter Clothes Adult])</f>
        <v>#REF!</v>
      </c>
      <c r="AK7" s="228" t="e">
        <f>IF(NFI_Expiration=1,IF(#REF!&lt;VLOOKUP(T$5,NFI,5,0),1,0)*Table_NFI[[#This Row],[Winter Clothes Children]],Table_NFI[Winter Clothes Children])</f>
        <v>#REF!</v>
      </c>
      <c r="AL7" s="228" t="e">
        <f>IF(NFI_Expiration=1,IF(#REF!&lt;VLOOKUP(U$5,NFI,5,0),1,0)*Table_NFI[[#This Row],[Winter Items Other]],Table_NFI[Winter Items Other])</f>
        <v>#REF!</v>
      </c>
      <c r="AM7" s="228" t="e">
        <f>IF(NFI_Expiration=1,IF(#REF!&lt;VLOOKUP(N$5,NFI,5,0),1,0)*Table_NFI[[#This Row],[Winter Blanket]],Table_NFI[[#This Row],[Winter Blanket]])</f>
        <v>#REF!</v>
      </c>
      <c r="AN7" s="228">
        <f>IF(Table_NFI[[#This Row],[Winter Clothes Adult]]+Table_NFI[[#This Row],[Winter Clothes Children]]+Table_NFI[[#This Row],[Winter Items Other]]+Table_NFI[[#This Row],[Winter Blanket]]&gt;0,1,0)</f>
        <v>0</v>
      </c>
      <c r="AO7" s="229" t="e">
        <f>IF(NFI_Expiration=1,IF(#REF!&lt;VLOOKUP(W$5,NFI,5,0),1,0)*Table_NFI[[#This Row],[Jerry Can]],Table_NFI[Jerry Can])</f>
        <v>#REF!</v>
      </c>
      <c r="AP7" s="229" t="e">
        <f>IF(NFI_Expiration=1,IF(#REF!&lt;VLOOKUP(W$5,NFI,5,0),1,0)*Table_NFI[[#This Row],[Shelter Tool kit]],Table_NFI[Shelter Tool kit])</f>
        <v>#REF!</v>
      </c>
      <c r="AQ7" s="229" t="e">
        <f>IF(NFI_Expiration=1,IF(#REF!&lt;VLOOKUP(W$5,NFI,5,0),1,0)*Table_NFI[[#This Row],[Tent]],Table_NFI[Tent])</f>
        <v>#REF!</v>
      </c>
      <c r="AR7" s="230" t="str">
        <f>IFERROR(VLOOKUP(Table_NFI[[#This Row],[Location]],CL,2,0),"")</f>
        <v/>
      </c>
      <c r="AS7" s="668"/>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18" s="213" customFormat="1" ht="13.15" customHeight="1" x14ac:dyDescent="0.25">
      <c r="B8" s="749" t="s">
        <v>1761</v>
      </c>
      <c r="C8" s="627" t="s">
        <v>420</v>
      </c>
      <c r="D8" s="627" t="s">
        <v>462</v>
      </c>
      <c r="E8" s="627" t="s">
        <v>378</v>
      </c>
      <c r="F8" s="627" t="s">
        <v>1762</v>
      </c>
      <c r="G8" s="627" t="s">
        <v>1764</v>
      </c>
      <c r="H8" s="626"/>
      <c r="I8" s="409"/>
      <c r="J8" s="409">
        <v>3</v>
      </c>
      <c r="K8" s="409">
        <v>3</v>
      </c>
      <c r="L8" s="409">
        <v>6</v>
      </c>
      <c r="M8" s="409">
        <v>3</v>
      </c>
      <c r="N8" s="409">
        <v>8</v>
      </c>
      <c r="O8" s="409">
        <v>2</v>
      </c>
      <c r="P8" s="409"/>
      <c r="Q8" s="409">
        <v>2</v>
      </c>
      <c r="R8" s="409">
        <v>8</v>
      </c>
      <c r="S8" s="409"/>
      <c r="T8" s="409"/>
      <c r="U8" s="409"/>
      <c r="V8" s="409"/>
      <c r="W8" s="410">
        <v>3</v>
      </c>
      <c r="X8" s="410"/>
      <c r="Y8" s="410"/>
      <c r="Z8" s="410"/>
      <c r="AA8" s="228" t="e">
        <f>IF(NFI_Expiration=1,IF(#REF!&lt;VLOOKUP(J$5,NFI,5,0),1,0)*Table_NFI[[#This Row],[NFI Core Kit]],Table_NFI[NFI Core Kit])</f>
        <v>#REF!</v>
      </c>
      <c r="AB8" s="228" t="e">
        <f>IF(NFI_Expiration=1,IF(#REF!&lt;VLOOKUP(K$5,NFI,5,0),1,0)*Table_NFI[[#This Row],[Sanitary Kit]],Table_NFI[Sanitary Kit])</f>
        <v>#REF!</v>
      </c>
      <c r="AC8" s="228" t="e">
        <f>IF(NFI_Expiration=1,IF(#REF!&lt;VLOOKUP(L$5,NFI,5,0),1,0)*Table_NFI[[#This Row],[Mosquito net]],Table_NFI[Mosquito net])</f>
        <v>#REF!</v>
      </c>
      <c r="AD8" s="228" t="e">
        <f>IF(NFI_Expiration=1,IF(#REF!&lt;VLOOKUP(M$5,NFI,5,0),1,0)*Table_NFI[[#This Row],[Tarpaulin]],Table_NFI[[#This Row],[Tarpaulin]])</f>
        <v>#REF!</v>
      </c>
      <c r="AE8" s="228" t="e">
        <f>IF(NFI_Expiration=1,IF(#REF!&lt;VLOOKUP(N$5,NFI,5,0),1,0)*Table_NFI[[#This Row],[Blanket]],Table_NFI[[#This Row],[Blanket]])</f>
        <v>#REF!</v>
      </c>
      <c r="AF8" s="228" t="e">
        <f>IF(NFI_Expiration=1,IF(#REF!&lt;VLOOKUP(O$5,NFI,5,0),1,0)*Table_NFI[[#This Row],[Kitchen Set]],Table_NFI[Kitchen Set])</f>
        <v>#REF!</v>
      </c>
      <c r="AG8" s="228" t="e">
        <f>IF(NFI_Expiration=1,IF(#REF!&lt;VLOOKUP(P$5,NFI,5,0),1,0)*Table_NFI[[#This Row],[Clothes Kit]],Table_NFI[Clothes Kit])</f>
        <v>#REF!</v>
      </c>
      <c r="AH8" s="228" t="e">
        <f>IF(NFI_Expiration=1,IF(#REF!&lt;VLOOKUP(Q$5,NFI,5,0),1,0)*Table_NFI[[#This Row],[Plastic Bucket]],Table_NFI[Plastic Bucket])</f>
        <v>#REF!</v>
      </c>
      <c r="AI8" s="228" t="e">
        <f>IF(NFI_Expiration=1,IF(#REF!&lt;VLOOKUP(R$5,NFI,5,0),1,0)*Table_NFI[[#This Row],[Plastic Mat]],Table_NFI[Plastic Mat])*IF(Table_NFI[[#This Row],[Distribution Date]]&gt;"2014-04-01",1,2.5)</f>
        <v>#REF!</v>
      </c>
      <c r="AJ8" s="228" t="e">
        <f>IF(NFI_Expiration=1,IF(#REF!&lt;VLOOKUP(S$5,NFI,5,0),1,0)*Table_NFI[[#This Row],[Winter Clothes Adult]],Table_NFI[Winter Clothes Adult])</f>
        <v>#REF!</v>
      </c>
      <c r="AK8" s="228" t="e">
        <f>IF(NFI_Expiration=1,IF(#REF!&lt;VLOOKUP(T$5,NFI,5,0),1,0)*Table_NFI[[#This Row],[Winter Clothes Children]],Table_NFI[Winter Clothes Children])</f>
        <v>#REF!</v>
      </c>
      <c r="AL8" s="228" t="e">
        <f>IF(NFI_Expiration=1,IF(#REF!&lt;VLOOKUP(U$5,NFI,5,0),1,0)*Table_NFI[[#This Row],[Winter Items Other]],Table_NFI[Winter Items Other])</f>
        <v>#REF!</v>
      </c>
      <c r="AM8" s="228" t="e">
        <f>IF(NFI_Expiration=1,IF(#REF!&lt;VLOOKUP(N$5,NFI,5,0),1,0)*Table_NFI[[#This Row],[Winter Blanket]],Table_NFI[[#This Row],[Winter Blanket]])</f>
        <v>#REF!</v>
      </c>
      <c r="AN8" s="228">
        <f>IF(Table_NFI[[#This Row],[Winter Clothes Adult]]+Table_NFI[[#This Row],[Winter Clothes Children]]+Table_NFI[[#This Row],[Winter Items Other]]+Table_NFI[[#This Row],[Winter Blanket]]&gt;0,1,0)</f>
        <v>0</v>
      </c>
      <c r="AO8" s="229" t="e">
        <f>IF(NFI_Expiration=1,IF(#REF!&lt;VLOOKUP(W$5,NFI,5,0),1,0)*Table_NFI[[#This Row],[Jerry Can]],Table_NFI[Jerry Can])</f>
        <v>#REF!</v>
      </c>
      <c r="AP8" s="229" t="e">
        <f>IF(NFI_Expiration=1,IF(#REF!&lt;VLOOKUP(W$5,NFI,5,0),1,0)*Table_NFI[[#This Row],[Shelter Tool kit]],Table_NFI[Shelter Tool kit])</f>
        <v>#REF!</v>
      </c>
      <c r="AQ8" s="229" t="e">
        <f>IF(NFI_Expiration=1,IF(#REF!&lt;VLOOKUP(W$5,NFI,5,0),1,0)*Table_NFI[[#This Row],[Tent]],Table_NFI[Tent])</f>
        <v>#REF!</v>
      </c>
      <c r="AR8" s="230" t="str">
        <f>IFERROR(VLOOKUP(Table_NFI[[#This Row],[Location]],CL,2,0),"")</f>
        <v/>
      </c>
      <c r="AS8" s="668"/>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18" s="213" customFormat="1" ht="13.15" customHeight="1" x14ac:dyDescent="0.25">
      <c r="B9" s="749" t="s">
        <v>1759</v>
      </c>
      <c r="C9" s="627" t="s">
        <v>420</v>
      </c>
      <c r="D9" s="627" t="s">
        <v>1454</v>
      </c>
      <c r="E9" s="627" t="s">
        <v>378</v>
      </c>
      <c r="F9" s="627" t="s">
        <v>5</v>
      </c>
      <c r="G9" s="627" t="s">
        <v>1760</v>
      </c>
      <c r="H9" s="626"/>
      <c r="I9" s="409"/>
      <c r="J9" s="409"/>
      <c r="K9" s="409"/>
      <c r="L9" s="409"/>
      <c r="M9" s="409">
        <v>15</v>
      </c>
      <c r="N9" s="409"/>
      <c r="O9" s="409"/>
      <c r="P9" s="409"/>
      <c r="Q9" s="409"/>
      <c r="R9" s="409"/>
      <c r="S9" s="409"/>
      <c r="T9" s="409"/>
      <c r="U9" s="409"/>
      <c r="V9" s="409"/>
      <c r="W9" s="410"/>
      <c r="X9" s="410"/>
      <c r="Y9" s="410"/>
      <c r="Z9" s="410"/>
      <c r="AA9" s="228" t="e">
        <f>IF(NFI_Expiration=1,IF(#REF!&lt;VLOOKUP(J$5,NFI,5,0),1,0)*Table_NFI[[#This Row],[NFI Core Kit]],Table_NFI[NFI Core Kit])</f>
        <v>#REF!</v>
      </c>
      <c r="AB9" s="228" t="e">
        <f>IF(NFI_Expiration=1,IF(#REF!&lt;VLOOKUP(K$5,NFI,5,0),1,0)*Table_NFI[[#This Row],[Sanitary Kit]],Table_NFI[Sanitary Kit])</f>
        <v>#REF!</v>
      </c>
      <c r="AC9" s="228" t="e">
        <f>IF(NFI_Expiration=1,IF(#REF!&lt;VLOOKUP(L$5,NFI,5,0),1,0)*Table_NFI[[#This Row],[Mosquito net]],Table_NFI[Mosquito net])</f>
        <v>#REF!</v>
      </c>
      <c r="AD9" s="228" t="e">
        <f>IF(NFI_Expiration=1,IF(#REF!&lt;VLOOKUP(M$5,NFI,5,0),1,0)*Table_NFI[[#This Row],[Tarpaulin]],Table_NFI[[#This Row],[Tarpaulin]])</f>
        <v>#REF!</v>
      </c>
      <c r="AE9" s="228" t="e">
        <f>IF(NFI_Expiration=1,IF(#REF!&lt;VLOOKUP(N$5,NFI,5,0),1,0)*Table_NFI[[#This Row],[Blanket]],Table_NFI[[#This Row],[Blanket]])</f>
        <v>#REF!</v>
      </c>
      <c r="AF9" s="228" t="e">
        <f>IF(NFI_Expiration=1,IF(#REF!&lt;VLOOKUP(O$5,NFI,5,0),1,0)*Table_NFI[[#This Row],[Kitchen Set]],Table_NFI[Kitchen Set])</f>
        <v>#REF!</v>
      </c>
      <c r="AG9" s="228" t="e">
        <f>IF(NFI_Expiration=1,IF(#REF!&lt;VLOOKUP(P$5,NFI,5,0),1,0)*Table_NFI[[#This Row],[Clothes Kit]],Table_NFI[Clothes Kit])</f>
        <v>#REF!</v>
      </c>
      <c r="AH9" s="228" t="e">
        <f>IF(NFI_Expiration=1,IF(#REF!&lt;VLOOKUP(Q$5,NFI,5,0),1,0)*Table_NFI[[#This Row],[Plastic Bucket]],Table_NFI[Plastic Bucket])</f>
        <v>#REF!</v>
      </c>
      <c r="AI9" s="228" t="e">
        <f>IF(NFI_Expiration=1,IF(#REF!&lt;VLOOKUP(R$5,NFI,5,0),1,0)*Table_NFI[[#This Row],[Plastic Mat]],Table_NFI[Plastic Mat])*IF(Table_NFI[[#This Row],[Distribution Date]]&gt;"2014-04-01",1,2.5)</f>
        <v>#REF!</v>
      </c>
      <c r="AJ9" s="228" t="e">
        <f>IF(NFI_Expiration=1,IF(#REF!&lt;VLOOKUP(S$5,NFI,5,0),1,0)*Table_NFI[[#This Row],[Winter Clothes Adult]],Table_NFI[Winter Clothes Adult])</f>
        <v>#REF!</v>
      </c>
      <c r="AK9" s="228" t="e">
        <f>IF(NFI_Expiration=1,IF(#REF!&lt;VLOOKUP(T$5,NFI,5,0),1,0)*Table_NFI[[#This Row],[Winter Clothes Children]],Table_NFI[Winter Clothes Children])</f>
        <v>#REF!</v>
      </c>
      <c r="AL9" s="228" t="e">
        <f>IF(NFI_Expiration=1,IF(#REF!&lt;VLOOKUP(U$5,NFI,5,0),1,0)*Table_NFI[[#This Row],[Winter Items Other]],Table_NFI[Winter Items Other])</f>
        <v>#REF!</v>
      </c>
      <c r="AM9" s="228" t="e">
        <f>IF(NFI_Expiration=1,IF(#REF!&lt;VLOOKUP(N$5,NFI,5,0),1,0)*Table_NFI[[#This Row],[Winter Blanket]],Table_NFI[[#This Row],[Winter Blanket]])</f>
        <v>#REF!</v>
      </c>
      <c r="AN9" s="228">
        <f>IF(Table_NFI[[#This Row],[Winter Clothes Adult]]+Table_NFI[[#This Row],[Winter Clothes Children]]+Table_NFI[[#This Row],[Winter Items Other]]+Table_NFI[[#This Row],[Winter Blanket]]&gt;0,1,0)</f>
        <v>0</v>
      </c>
      <c r="AO9" s="229" t="e">
        <f>IF(NFI_Expiration=1,IF(#REF!&lt;VLOOKUP(W$5,NFI,5,0),1,0)*Table_NFI[[#This Row],[Jerry Can]],Table_NFI[Jerry Can])</f>
        <v>#REF!</v>
      </c>
      <c r="AP9" s="229" t="e">
        <f>IF(NFI_Expiration=1,IF(#REF!&lt;VLOOKUP(W$5,NFI,5,0),1,0)*Table_NFI[[#This Row],[Shelter Tool kit]],Table_NFI[Shelter Tool kit])</f>
        <v>#REF!</v>
      </c>
      <c r="AQ9" s="229" t="e">
        <f>IF(NFI_Expiration=1,IF(#REF!&lt;VLOOKUP(W$5,NFI,5,0),1,0)*Table_NFI[[#This Row],[Tent]],Table_NFI[Tent])</f>
        <v>#REF!</v>
      </c>
      <c r="AR9" s="230" t="str">
        <f>IFERROR(VLOOKUP(Table_NFI[[#This Row],[Location]],CL,2,0),"")</f>
        <v/>
      </c>
      <c r="AS9" s="668"/>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18" s="213" customFormat="1" ht="13.9" customHeight="1" x14ac:dyDescent="0.25">
      <c r="B10" s="749">
        <v>42962</v>
      </c>
      <c r="C10" s="627" t="s">
        <v>1567</v>
      </c>
      <c r="D10" s="802"/>
      <c r="E10" s="627" t="s">
        <v>378</v>
      </c>
      <c r="F10" s="627" t="s">
        <v>1739</v>
      </c>
      <c r="G10" s="627" t="s">
        <v>1744</v>
      </c>
      <c r="H10" s="626"/>
      <c r="I10" s="409"/>
      <c r="J10" s="409"/>
      <c r="K10" s="409"/>
      <c r="L10" s="409">
        <v>10</v>
      </c>
      <c r="M10" s="409"/>
      <c r="N10" s="409">
        <v>10</v>
      </c>
      <c r="O10" s="409">
        <v>5</v>
      </c>
      <c r="P10" s="409"/>
      <c r="Q10" s="409"/>
      <c r="R10" s="409">
        <v>10</v>
      </c>
      <c r="S10" s="409"/>
      <c r="T10" s="409"/>
      <c r="U10" s="409"/>
      <c r="V10" s="409"/>
      <c r="W10" s="410"/>
      <c r="X10" s="410"/>
      <c r="Y10" s="410"/>
      <c r="Z10" s="410"/>
      <c r="AA10" s="228" t="e">
        <f>IF(NFI_Expiration=1,IF(#REF!&lt;VLOOKUP(J$5,NFI,5,0),1,0)*Table_NFI[[#This Row],[NFI Core Kit]],Table_NFI[NFI Core Kit])</f>
        <v>#REF!</v>
      </c>
      <c r="AB10" s="228" t="e">
        <f>IF(NFI_Expiration=1,IF(#REF!&lt;VLOOKUP(K$5,NFI,5,0),1,0)*Table_NFI[[#This Row],[Sanitary Kit]],Table_NFI[Sanitary Kit])</f>
        <v>#REF!</v>
      </c>
      <c r="AC10" s="228" t="e">
        <f>IF(NFI_Expiration=1,IF(#REF!&lt;VLOOKUP(L$5,NFI,5,0),1,0)*Table_NFI[[#This Row],[Mosquito net]],Table_NFI[Mosquito net])</f>
        <v>#REF!</v>
      </c>
      <c r="AD10" s="228" t="e">
        <f>IF(NFI_Expiration=1,IF(#REF!&lt;VLOOKUP(M$5,NFI,5,0),1,0)*Table_NFI[[#This Row],[Tarpaulin]],Table_NFI[[#This Row],[Tarpaulin]])</f>
        <v>#REF!</v>
      </c>
      <c r="AE10" s="228" t="e">
        <f>IF(NFI_Expiration=1,IF(#REF!&lt;VLOOKUP(N$5,NFI,5,0),1,0)*Table_NFI[[#This Row],[Blanket]],Table_NFI[[#This Row],[Blanket]])</f>
        <v>#REF!</v>
      </c>
      <c r="AF10" s="228" t="e">
        <f>IF(NFI_Expiration=1,IF(#REF!&lt;VLOOKUP(O$5,NFI,5,0),1,0)*Table_NFI[[#This Row],[Kitchen Set]],Table_NFI[Kitchen Set])</f>
        <v>#REF!</v>
      </c>
      <c r="AG10" s="228" t="e">
        <f>IF(NFI_Expiration=1,IF(#REF!&lt;VLOOKUP(P$5,NFI,5,0),1,0)*Table_NFI[[#This Row],[Clothes Kit]],Table_NFI[Clothes Kit])</f>
        <v>#REF!</v>
      </c>
      <c r="AH10" s="228" t="e">
        <f>IF(NFI_Expiration=1,IF(#REF!&lt;VLOOKUP(Q$5,NFI,5,0),1,0)*Table_NFI[[#This Row],[Plastic Bucket]],Table_NFI[Plastic Bucket])</f>
        <v>#REF!</v>
      </c>
      <c r="AI10" s="228" t="e">
        <f>IF(NFI_Expiration=1,IF(#REF!&lt;VLOOKUP(R$5,NFI,5,0),1,0)*Table_NFI[[#This Row],[Plastic Mat]],Table_NFI[Plastic Mat])*IF(Table_NFI[[#This Row],[Distribution Date]]&gt;"2014-04-01",1,2.5)</f>
        <v>#REF!</v>
      </c>
      <c r="AJ10" s="228" t="e">
        <f>IF(NFI_Expiration=1,IF(#REF!&lt;VLOOKUP(S$5,NFI,5,0),1,0)*Table_NFI[[#This Row],[Winter Clothes Adult]],Table_NFI[Winter Clothes Adult])</f>
        <v>#REF!</v>
      </c>
      <c r="AK10" s="228" t="e">
        <f>IF(NFI_Expiration=1,IF(#REF!&lt;VLOOKUP(T$5,NFI,5,0),1,0)*Table_NFI[[#This Row],[Winter Clothes Children]],Table_NFI[Winter Clothes Children])</f>
        <v>#REF!</v>
      </c>
      <c r="AL10" s="228" t="e">
        <f>IF(NFI_Expiration=1,IF(#REF!&lt;VLOOKUP(U$5,NFI,5,0),1,0)*Table_NFI[[#This Row],[Winter Items Other]],Table_NFI[Winter Items Other])</f>
        <v>#REF!</v>
      </c>
      <c r="AM10" s="228" t="e">
        <f>IF(NFI_Expiration=1,IF(#REF!&lt;VLOOKUP(N$5,NFI,5,0),1,0)*Table_NFI[[#This Row],[Winter Blanket]],Table_NFI[[#This Row],[Winter Blanket]])</f>
        <v>#REF!</v>
      </c>
      <c r="AN10" s="228">
        <f>IF(Table_NFI[[#This Row],[Winter Clothes Adult]]+Table_NFI[[#This Row],[Winter Clothes Children]]+Table_NFI[[#This Row],[Winter Items Other]]+Table_NFI[[#This Row],[Winter Blanket]]&gt;0,1,0)</f>
        <v>0</v>
      </c>
      <c r="AO10" s="229" t="e">
        <f>IF(NFI_Expiration=1,IF(#REF!&lt;VLOOKUP(W$5,NFI,5,0),1,0)*Table_NFI[[#This Row],[Jerry Can]],Table_NFI[Jerry Can])</f>
        <v>#REF!</v>
      </c>
      <c r="AP10" s="229" t="e">
        <f>IF(NFI_Expiration=1,IF(#REF!&lt;VLOOKUP(W$5,NFI,5,0),1,0)*Table_NFI[[#This Row],[Shelter Tool kit]],Table_NFI[Shelter Tool kit])</f>
        <v>#REF!</v>
      </c>
      <c r="AQ10" s="229" t="e">
        <f>IF(NFI_Expiration=1,IF(#REF!&lt;VLOOKUP(W$5,NFI,5,0),1,0)*Table_NFI[[#This Row],[Tent]],Table_NFI[Tent])</f>
        <v>#REF!</v>
      </c>
      <c r="AR10" s="230" t="str">
        <f>IFERROR(VLOOKUP(Table_NFI[[#This Row],[Location]],CL,2,0),"")</f>
        <v/>
      </c>
      <c r="AS10" s="668"/>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row>
    <row r="11" spans="1:118" s="213" customFormat="1" ht="13.9" customHeight="1" x14ac:dyDescent="0.25">
      <c r="B11" s="749">
        <v>42962</v>
      </c>
      <c r="C11" s="627" t="s">
        <v>1567</v>
      </c>
      <c r="D11" s="802"/>
      <c r="E11" s="627" t="s">
        <v>378</v>
      </c>
      <c r="F11" s="627" t="s">
        <v>1739</v>
      </c>
      <c r="G11" s="627" t="s">
        <v>1743</v>
      </c>
      <c r="H11" s="626"/>
      <c r="I11" s="409"/>
      <c r="J11" s="409"/>
      <c r="K11" s="409"/>
      <c r="L11" s="409">
        <v>4</v>
      </c>
      <c r="M11" s="409"/>
      <c r="N11" s="409">
        <v>4</v>
      </c>
      <c r="O11" s="409">
        <v>2</v>
      </c>
      <c r="P11" s="409"/>
      <c r="Q11" s="409"/>
      <c r="R11" s="409">
        <v>4</v>
      </c>
      <c r="S11" s="409"/>
      <c r="T11" s="409"/>
      <c r="U11" s="409"/>
      <c r="V11" s="409"/>
      <c r="W11" s="410"/>
      <c r="X11" s="410"/>
      <c r="Y11" s="410"/>
      <c r="Z11" s="410"/>
      <c r="AA11" s="228" t="e">
        <f>IF(NFI_Expiration=1,IF(#REF!&lt;VLOOKUP(J$5,NFI,5,0),1,0)*Table_NFI[[#This Row],[NFI Core Kit]],Table_NFI[NFI Core Kit])</f>
        <v>#REF!</v>
      </c>
      <c r="AB11" s="228" t="e">
        <f>IF(NFI_Expiration=1,IF(#REF!&lt;VLOOKUP(K$5,NFI,5,0),1,0)*Table_NFI[[#This Row],[Sanitary Kit]],Table_NFI[Sanitary Kit])</f>
        <v>#REF!</v>
      </c>
      <c r="AC11" s="228" t="e">
        <f>IF(NFI_Expiration=1,IF(#REF!&lt;VLOOKUP(L$5,NFI,5,0),1,0)*Table_NFI[[#This Row],[Mosquito net]],Table_NFI[Mosquito net])</f>
        <v>#REF!</v>
      </c>
      <c r="AD11" s="228" t="e">
        <f>IF(NFI_Expiration=1,IF(#REF!&lt;VLOOKUP(M$5,NFI,5,0),1,0)*Table_NFI[[#This Row],[Tarpaulin]],Table_NFI[[#This Row],[Tarpaulin]])</f>
        <v>#REF!</v>
      </c>
      <c r="AE11" s="228" t="e">
        <f>IF(NFI_Expiration=1,IF(#REF!&lt;VLOOKUP(N$5,NFI,5,0),1,0)*Table_NFI[[#This Row],[Blanket]],Table_NFI[[#This Row],[Blanket]])</f>
        <v>#REF!</v>
      </c>
      <c r="AF11" s="228" t="e">
        <f>IF(NFI_Expiration=1,IF(#REF!&lt;VLOOKUP(O$5,NFI,5,0),1,0)*Table_NFI[[#This Row],[Kitchen Set]],Table_NFI[Kitchen Set])</f>
        <v>#REF!</v>
      </c>
      <c r="AG11" s="228" t="e">
        <f>IF(NFI_Expiration=1,IF(#REF!&lt;VLOOKUP(P$5,NFI,5,0),1,0)*Table_NFI[[#This Row],[Clothes Kit]],Table_NFI[Clothes Kit])</f>
        <v>#REF!</v>
      </c>
      <c r="AH11" s="228" t="e">
        <f>IF(NFI_Expiration=1,IF(#REF!&lt;VLOOKUP(Q$5,NFI,5,0),1,0)*Table_NFI[[#This Row],[Plastic Bucket]],Table_NFI[Plastic Bucket])</f>
        <v>#REF!</v>
      </c>
      <c r="AI11" s="228" t="e">
        <f>IF(NFI_Expiration=1,IF(#REF!&lt;VLOOKUP(R$5,NFI,5,0),1,0)*Table_NFI[[#This Row],[Plastic Mat]],Table_NFI[Plastic Mat])*IF(Table_NFI[[#This Row],[Distribution Date]]&gt;"2014-04-01",1,2.5)</f>
        <v>#REF!</v>
      </c>
      <c r="AJ11" s="228" t="e">
        <f>IF(NFI_Expiration=1,IF(#REF!&lt;VLOOKUP(S$5,NFI,5,0),1,0)*Table_NFI[[#This Row],[Winter Clothes Adult]],Table_NFI[Winter Clothes Adult])</f>
        <v>#REF!</v>
      </c>
      <c r="AK11" s="228" t="e">
        <f>IF(NFI_Expiration=1,IF(#REF!&lt;VLOOKUP(T$5,NFI,5,0),1,0)*Table_NFI[[#This Row],[Winter Clothes Children]],Table_NFI[Winter Clothes Children])</f>
        <v>#REF!</v>
      </c>
      <c r="AL11" s="228" t="e">
        <f>IF(NFI_Expiration=1,IF(#REF!&lt;VLOOKUP(U$5,NFI,5,0),1,0)*Table_NFI[[#This Row],[Winter Items Other]],Table_NFI[Winter Items Other])</f>
        <v>#REF!</v>
      </c>
      <c r="AM11" s="228" t="e">
        <f>IF(NFI_Expiration=1,IF(#REF!&lt;VLOOKUP(N$5,NFI,5,0),1,0)*Table_NFI[[#This Row],[Winter Blanket]],Table_NFI[[#This Row],[Winter Blanket]])</f>
        <v>#REF!</v>
      </c>
      <c r="AN11" s="228">
        <f>IF(Table_NFI[[#This Row],[Winter Clothes Adult]]+Table_NFI[[#This Row],[Winter Clothes Children]]+Table_NFI[[#This Row],[Winter Items Other]]+Table_NFI[[#This Row],[Winter Blanket]]&gt;0,1,0)</f>
        <v>0</v>
      </c>
      <c r="AO11" s="229" t="e">
        <f>IF(NFI_Expiration=1,IF(#REF!&lt;VLOOKUP(W$5,NFI,5,0),1,0)*Table_NFI[[#This Row],[Jerry Can]],Table_NFI[Jerry Can])</f>
        <v>#REF!</v>
      </c>
      <c r="AP11" s="229" t="e">
        <f>IF(NFI_Expiration=1,IF(#REF!&lt;VLOOKUP(W$5,NFI,5,0),1,0)*Table_NFI[[#This Row],[Shelter Tool kit]],Table_NFI[Shelter Tool kit])</f>
        <v>#REF!</v>
      </c>
      <c r="AQ11" s="229" t="e">
        <f>IF(NFI_Expiration=1,IF(#REF!&lt;VLOOKUP(W$5,NFI,5,0),1,0)*Table_NFI[[#This Row],[Tent]],Table_NFI[Tent])</f>
        <v>#REF!</v>
      </c>
      <c r="AR11" s="230" t="str">
        <f>IFERROR(VLOOKUP(Table_NFI[[#This Row],[Location]],CL,2,0),"")</f>
        <v/>
      </c>
      <c r="AS11" s="668"/>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row>
    <row r="12" spans="1:118" s="213" customFormat="1" ht="13.9" customHeight="1" x14ac:dyDescent="0.25">
      <c r="B12" s="749">
        <v>42963</v>
      </c>
      <c r="C12" s="627" t="s">
        <v>1567</v>
      </c>
      <c r="D12" s="802"/>
      <c r="E12" s="627" t="s">
        <v>378</v>
      </c>
      <c r="F12" s="627" t="s">
        <v>1739</v>
      </c>
      <c r="G12" s="627" t="s">
        <v>1742</v>
      </c>
      <c r="H12" s="626"/>
      <c r="I12" s="409"/>
      <c r="J12" s="409"/>
      <c r="K12" s="409"/>
      <c r="L12" s="409">
        <v>14</v>
      </c>
      <c r="M12" s="409"/>
      <c r="N12" s="409">
        <v>14</v>
      </c>
      <c r="O12" s="409">
        <v>7</v>
      </c>
      <c r="P12" s="409"/>
      <c r="Q12" s="409"/>
      <c r="R12" s="409">
        <v>14</v>
      </c>
      <c r="S12" s="409"/>
      <c r="T12" s="409"/>
      <c r="U12" s="409"/>
      <c r="V12" s="409"/>
      <c r="W12" s="410"/>
      <c r="X12" s="410"/>
      <c r="Y12" s="410"/>
      <c r="Z12" s="410"/>
      <c r="AA12" s="228" t="e">
        <f>IF(NFI_Expiration=1,IF(#REF!&lt;VLOOKUP(J$5,NFI,5,0),1,0)*Table_NFI[[#This Row],[NFI Core Kit]],Table_NFI[NFI Core Kit])</f>
        <v>#REF!</v>
      </c>
      <c r="AB12" s="228" t="e">
        <f>IF(NFI_Expiration=1,IF(#REF!&lt;VLOOKUP(K$5,NFI,5,0),1,0)*Table_NFI[[#This Row],[Sanitary Kit]],Table_NFI[Sanitary Kit])</f>
        <v>#REF!</v>
      </c>
      <c r="AC12" s="228" t="e">
        <f>IF(NFI_Expiration=1,IF(#REF!&lt;VLOOKUP(L$5,NFI,5,0),1,0)*Table_NFI[[#This Row],[Mosquito net]],Table_NFI[Mosquito net])</f>
        <v>#REF!</v>
      </c>
      <c r="AD12" s="228" t="e">
        <f>IF(NFI_Expiration=1,IF(#REF!&lt;VLOOKUP(M$5,NFI,5,0),1,0)*Table_NFI[[#This Row],[Tarpaulin]],Table_NFI[[#This Row],[Tarpaulin]])</f>
        <v>#REF!</v>
      </c>
      <c r="AE12" s="228" t="e">
        <f>IF(NFI_Expiration=1,IF(#REF!&lt;VLOOKUP(N$5,NFI,5,0),1,0)*Table_NFI[[#This Row],[Blanket]],Table_NFI[[#This Row],[Blanket]])</f>
        <v>#REF!</v>
      </c>
      <c r="AF12" s="228" t="e">
        <f>IF(NFI_Expiration=1,IF(#REF!&lt;VLOOKUP(O$5,NFI,5,0),1,0)*Table_NFI[[#This Row],[Kitchen Set]],Table_NFI[Kitchen Set])</f>
        <v>#REF!</v>
      </c>
      <c r="AG12" s="228" t="e">
        <f>IF(NFI_Expiration=1,IF(#REF!&lt;VLOOKUP(P$5,NFI,5,0),1,0)*Table_NFI[[#This Row],[Clothes Kit]],Table_NFI[Clothes Kit])</f>
        <v>#REF!</v>
      </c>
      <c r="AH12" s="228" t="e">
        <f>IF(NFI_Expiration=1,IF(#REF!&lt;VLOOKUP(Q$5,NFI,5,0),1,0)*Table_NFI[[#This Row],[Plastic Bucket]],Table_NFI[Plastic Bucket])</f>
        <v>#REF!</v>
      </c>
      <c r="AI12" s="228" t="e">
        <f>IF(NFI_Expiration=1,IF(#REF!&lt;VLOOKUP(R$5,NFI,5,0),1,0)*Table_NFI[[#This Row],[Plastic Mat]],Table_NFI[Plastic Mat])*IF(Table_NFI[[#This Row],[Distribution Date]]&gt;"2014-04-01",1,2.5)</f>
        <v>#REF!</v>
      </c>
      <c r="AJ12" s="228" t="e">
        <f>IF(NFI_Expiration=1,IF(#REF!&lt;VLOOKUP(S$5,NFI,5,0),1,0)*Table_NFI[[#This Row],[Winter Clothes Adult]],Table_NFI[Winter Clothes Adult])</f>
        <v>#REF!</v>
      </c>
      <c r="AK12" s="228" t="e">
        <f>IF(NFI_Expiration=1,IF(#REF!&lt;VLOOKUP(T$5,NFI,5,0),1,0)*Table_NFI[[#This Row],[Winter Clothes Children]],Table_NFI[Winter Clothes Children])</f>
        <v>#REF!</v>
      </c>
      <c r="AL12" s="228" t="e">
        <f>IF(NFI_Expiration=1,IF(#REF!&lt;VLOOKUP(U$5,NFI,5,0),1,0)*Table_NFI[[#This Row],[Winter Items Other]],Table_NFI[Winter Items Other])</f>
        <v>#REF!</v>
      </c>
      <c r="AM12" s="228" t="e">
        <f>IF(NFI_Expiration=1,IF(#REF!&lt;VLOOKUP(N$5,NFI,5,0),1,0)*Table_NFI[[#This Row],[Winter Blanket]],Table_NFI[[#This Row],[Winter Blanket]])</f>
        <v>#REF!</v>
      </c>
      <c r="AN12" s="228">
        <f>IF(Table_NFI[[#This Row],[Winter Clothes Adult]]+Table_NFI[[#This Row],[Winter Clothes Children]]+Table_NFI[[#This Row],[Winter Items Other]]+Table_NFI[[#This Row],[Winter Blanket]]&gt;0,1,0)</f>
        <v>0</v>
      </c>
      <c r="AO12" s="229" t="e">
        <f>IF(NFI_Expiration=1,IF(#REF!&lt;VLOOKUP(W$5,NFI,5,0),1,0)*Table_NFI[[#This Row],[Jerry Can]],Table_NFI[Jerry Can])</f>
        <v>#REF!</v>
      </c>
      <c r="AP12" s="229" t="e">
        <f>IF(NFI_Expiration=1,IF(#REF!&lt;VLOOKUP(W$5,NFI,5,0),1,0)*Table_NFI[[#This Row],[Shelter Tool kit]],Table_NFI[Shelter Tool kit])</f>
        <v>#REF!</v>
      </c>
      <c r="AQ12" s="229" t="e">
        <f>IF(NFI_Expiration=1,IF(#REF!&lt;VLOOKUP(W$5,NFI,5,0),1,0)*Table_NFI[[#This Row],[Tent]],Table_NFI[Tent])</f>
        <v>#REF!</v>
      </c>
      <c r="AR12" s="230" t="str">
        <f>IFERROR(VLOOKUP(Table_NFI[[#This Row],[Location]],CL,2,0),"")</f>
        <v/>
      </c>
      <c r="AS12" s="668"/>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390"/>
      <c r="CJ12" s="390"/>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390"/>
      <c r="DG12" s="390"/>
      <c r="DH12" s="390"/>
      <c r="DI12" s="390"/>
      <c r="DJ12" s="390"/>
      <c r="DK12" s="390"/>
      <c r="DL12" s="390"/>
      <c r="DM12" s="390"/>
    </row>
    <row r="13" spans="1:118" s="213" customFormat="1" ht="13.9" customHeight="1" x14ac:dyDescent="0.25">
      <c r="B13" s="749">
        <v>42963</v>
      </c>
      <c r="C13" s="627" t="s">
        <v>1567</v>
      </c>
      <c r="D13" s="802"/>
      <c r="E13" s="627" t="s">
        <v>378</v>
      </c>
      <c r="F13" s="627" t="s">
        <v>1739</v>
      </c>
      <c r="G13" s="627" t="s">
        <v>1741</v>
      </c>
      <c r="H13" s="626"/>
      <c r="I13" s="409"/>
      <c r="J13" s="409"/>
      <c r="K13" s="409"/>
      <c r="L13" s="409">
        <v>8</v>
      </c>
      <c r="M13" s="409"/>
      <c r="N13" s="409">
        <v>8</v>
      </c>
      <c r="O13" s="409">
        <v>4</v>
      </c>
      <c r="P13" s="409"/>
      <c r="Q13" s="409"/>
      <c r="R13" s="409">
        <v>8</v>
      </c>
      <c r="S13" s="409"/>
      <c r="T13" s="409"/>
      <c r="U13" s="409"/>
      <c r="V13" s="409"/>
      <c r="W13" s="410"/>
      <c r="X13" s="410"/>
      <c r="Y13" s="410"/>
      <c r="Z13" s="410"/>
      <c r="AA13" s="228" t="e">
        <f>IF(NFI_Expiration=1,IF(#REF!&lt;VLOOKUP(J$5,NFI,5,0),1,0)*Table_NFI[[#This Row],[NFI Core Kit]],Table_NFI[NFI Core Kit])</f>
        <v>#REF!</v>
      </c>
      <c r="AB13" s="228" t="e">
        <f>IF(NFI_Expiration=1,IF(#REF!&lt;VLOOKUP(K$5,NFI,5,0),1,0)*Table_NFI[[#This Row],[Sanitary Kit]],Table_NFI[Sanitary Kit])</f>
        <v>#REF!</v>
      </c>
      <c r="AC13" s="228" t="e">
        <f>IF(NFI_Expiration=1,IF(#REF!&lt;VLOOKUP(L$5,NFI,5,0),1,0)*Table_NFI[[#This Row],[Mosquito net]],Table_NFI[Mosquito net])</f>
        <v>#REF!</v>
      </c>
      <c r="AD13" s="228" t="e">
        <f>IF(NFI_Expiration=1,IF(#REF!&lt;VLOOKUP(M$5,NFI,5,0),1,0)*Table_NFI[[#This Row],[Tarpaulin]],Table_NFI[[#This Row],[Tarpaulin]])</f>
        <v>#REF!</v>
      </c>
      <c r="AE13" s="228" t="e">
        <f>IF(NFI_Expiration=1,IF(#REF!&lt;VLOOKUP(N$5,NFI,5,0),1,0)*Table_NFI[[#This Row],[Blanket]],Table_NFI[[#This Row],[Blanket]])</f>
        <v>#REF!</v>
      </c>
      <c r="AF13" s="228" t="e">
        <f>IF(NFI_Expiration=1,IF(#REF!&lt;VLOOKUP(O$5,NFI,5,0),1,0)*Table_NFI[[#This Row],[Kitchen Set]],Table_NFI[Kitchen Set])</f>
        <v>#REF!</v>
      </c>
      <c r="AG13" s="228" t="e">
        <f>IF(NFI_Expiration=1,IF(#REF!&lt;VLOOKUP(P$5,NFI,5,0),1,0)*Table_NFI[[#This Row],[Clothes Kit]],Table_NFI[Clothes Kit])</f>
        <v>#REF!</v>
      </c>
      <c r="AH13" s="228" t="e">
        <f>IF(NFI_Expiration=1,IF(#REF!&lt;VLOOKUP(Q$5,NFI,5,0),1,0)*Table_NFI[[#This Row],[Plastic Bucket]],Table_NFI[Plastic Bucket])</f>
        <v>#REF!</v>
      </c>
      <c r="AI13" s="228" t="e">
        <f>IF(NFI_Expiration=1,IF(#REF!&lt;VLOOKUP(R$5,NFI,5,0),1,0)*Table_NFI[[#This Row],[Plastic Mat]],Table_NFI[Plastic Mat])*IF(Table_NFI[[#This Row],[Distribution Date]]&gt;"2014-04-01",1,2.5)</f>
        <v>#REF!</v>
      </c>
      <c r="AJ13" s="228" t="e">
        <f>IF(NFI_Expiration=1,IF(#REF!&lt;VLOOKUP(S$5,NFI,5,0),1,0)*Table_NFI[[#This Row],[Winter Clothes Adult]],Table_NFI[Winter Clothes Adult])</f>
        <v>#REF!</v>
      </c>
      <c r="AK13" s="228" t="e">
        <f>IF(NFI_Expiration=1,IF(#REF!&lt;VLOOKUP(T$5,NFI,5,0),1,0)*Table_NFI[[#This Row],[Winter Clothes Children]],Table_NFI[Winter Clothes Children])</f>
        <v>#REF!</v>
      </c>
      <c r="AL13" s="228" t="e">
        <f>IF(NFI_Expiration=1,IF(#REF!&lt;VLOOKUP(U$5,NFI,5,0),1,0)*Table_NFI[[#This Row],[Winter Items Other]],Table_NFI[Winter Items Other])</f>
        <v>#REF!</v>
      </c>
      <c r="AM13" s="228" t="e">
        <f>IF(NFI_Expiration=1,IF(#REF!&lt;VLOOKUP(N$5,NFI,5,0),1,0)*Table_NFI[[#This Row],[Winter Blanket]],Table_NFI[[#This Row],[Winter Blanket]])</f>
        <v>#REF!</v>
      </c>
      <c r="AN13" s="228">
        <f>IF(Table_NFI[[#This Row],[Winter Clothes Adult]]+Table_NFI[[#This Row],[Winter Clothes Children]]+Table_NFI[[#This Row],[Winter Items Other]]+Table_NFI[[#This Row],[Winter Blanket]]&gt;0,1,0)</f>
        <v>0</v>
      </c>
      <c r="AO13" s="229" t="e">
        <f>IF(NFI_Expiration=1,IF(#REF!&lt;VLOOKUP(W$5,NFI,5,0),1,0)*Table_NFI[[#This Row],[Jerry Can]],Table_NFI[Jerry Can])</f>
        <v>#REF!</v>
      </c>
      <c r="AP13" s="229" t="e">
        <f>IF(NFI_Expiration=1,IF(#REF!&lt;VLOOKUP(W$5,NFI,5,0),1,0)*Table_NFI[[#This Row],[Shelter Tool kit]],Table_NFI[Shelter Tool kit])</f>
        <v>#REF!</v>
      </c>
      <c r="AQ13" s="229" t="e">
        <f>IF(NFI_Expiration=1,IF(#REF!&lt;VLOOKUP(W$5,NFI,5,0),1,0)*Table_NFI[[#This Row],[Tent]],Table_NFI[Tent])</f>
        <v>#REF!</v>
      </c>
      <c r="AR13" s="230" t="str">
        <f>IFERROR(VLOOKUP(Table_NFI[[#This Row],[Location]],CL,2,0),"")</f>
        <v/>
      </c>
      <c r="AS13" s="668"/>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390"/>
      <c r="DG13" s="390"/>
      <c r="DH13" s="390"/>
      <c r="DI13" s="390"/>
      <c r="DJ13" s="390"/>
      <c r="DK13" s="390"/>
      <c r="DL13" s="390"/>
      <c r="DM13" s="390"/>
    </row>
    <row r="14" spans="1:118" s="213" customFormat="1" ht="13.9" customHeight="1" x14ac:dyDescent="0.25">
      <c r="B14" s="749">
        <v>42963</v>
      </c>
      <c r="C14" s="627" t="s">
        <v>1567</v>
      </c>
      <c r="D14" s="802"/>
      <c r="E14" s="627" t="s">
        <v>378</v>
      </c>
      <c r="F14" s="627" t="s">
        <v>5</v>
      </c>
      <c r="G14" s="627" t="s">
        <v>1738</v>
      </c>
      <c r="H14" s="626"/>
      <c r="I14" s="409"/>
      <c r="J14" s="409"/>
      <c r="K14" s="409"/>
      <c r="L14" s="409">
        <v>12</v>
      </c>
      <c r="M14" s="409"/>
      <c r="N14" s="409">
        <v>12</v>
      </c>
      <c r="O14" s="409">
        <v>6</v>
      </c>
      <c r="P14" s="409"/>
      <c r="Q14" s="409"/>
      <c r="R14" s="409">
        <v>12</v>
      </c>
      <c r="S14" s="409"/>
      <c r="T14" s="409"/>
      <c r="U14" s="409"/>
      <c r="V14" s="409"/>
      <c r="W14" s="410"/>
      <c r="X14" s="410"/>
      <c r="Y14" s="410"/>
      <c r="Z14" s="410"/>
      <c r="AA14" s="228" t="e">
        <f>IF(NFI_Expiration=1,IF(#REF!&lt;VLOOKUP(J$5,NFI,5,0),1,0)*Table_NFI[[#This Row],[NFI Core Kit]],Table_NFI[NFI Core Kit])</f>
        <v>#REF!</v>
      </c>
      <c r="AB14" s="228" t="e">
        <f>IF(NFI_Expiration=1,IF(#REF!&lt;VLOOKUP(K$5,NFI,5,0),1,0)*Table_NFI[[#This Row],[Sanitary Kit]],Table_NFI[Sanitary Kit])</f>
        <v>#REF!</v>
      </c>
      <c r="AC14" s="228" t="e">
        <f>IF(NFI_Expiration=1,IF(#REF!&lt;VLOOKUP(L$5,NFI,5,0),1,0)*Table_NFI[[#This Row],[Mosquito net]],Table_NFI[Mosquito net])</f>
        <v>#REF!</v>
      </c>
      <c r="AD14" s="228" t="e">
        <f>IF(NFI_Expiration=1,IF(#REF!&lt;VLOOKUP(M$5,NFI,5,0),1,0)*Table_NFI[[#This Row],[Tarpaulin]],Table_NFI[[#This Row],[Tarpaulin]])</f>
        <v>#REF!</v>
      </c>
      <c r="AE14" s="228" t="e">
        <f>IF(NFI_Expiration=1,IF(#REF!&lt;VLOOKUP(N$5,NFI,5,0),1,0)*Table_NFI[[#This Row],[Blanket]],Table_NFI[[#This Row],[Blanket]])</f>
        <v>#REF!</v>
      </c>
      <c r="AF14" s="228" t="e">
        <f>IF(NFI_Expiration=1,IF(#REF!&lt;VLOOKUP(O$5,NFI,5,0),1,0)*Table_NFI[[#This Row],[Kitchen Set]],Table_NFI[Kitchen Set])</f>
        <v>#REF!</v>
      </c>
      <c r="AG14" s="228" t="e">
        <f>IF(NFI_Expiration=1,IF(#REF!&lt;VLOOKUP(P$5,NFI,5,0),1,0)*Table_NFI[[#This Row],[Clothes Kit]],Table_NFI[Clothes Kit])</f>
        <v>#REF!</v>
      </c>
      <c r="AH14" s="228" t="e">
        <f>IF(NFI_Expiration=1,IF(#REF!&lt;VLOOKUP(Q$5,NFI,5,0),1,0)*Table_NFI[[#This Row],[Plastic Bucket]],Table_NFI[Plastic Bucket])</f>
        <v>#REF!</v>
      </c>
      <c r="AI14" s="228" t="e">
        <f>IF(NFI_Expiration=1,IF(#REF!&lt;VLOOKUP(R$5,NFI,5,0),1,0)*Table_NFI[[#This Row],[Plastic Mat]],Table_NFI[Plastic Mat])*IF(Table_NFI[[#This Row],[Distribution Date]]&gt;"2014-04-01",1,2.5)</f>
        <v>#REF!</v>
      </c>
      <c r="AJ14" s="228" t="e">
        <f>IF(NFI_Expiration=1,IF(#REF!&lt;VLOOKUP(S$5,NFI,5,0),1,0)*Table_NFI[[#This Row],[Winter Clothes Adult]],Table_NFI[Winter Clothes Adult])</f>
        <v>#REF!</v>
      </c>
      <c r="AK14" s="228" t="e">
        <f>IF(NFI_Expiration=1,IF(#REF!&lt;VLOOKUP(T$5,NFI,5,0),1,0)*Table_NFI[[#This Row],[Winter Clothes Children]],Table_NFI[Winter Clothes Children])</f>
        <v>#REF!</v>
      </c>
      <c r="AL14" s="228" t="e">
        <f>IF(NFI_Expiration=1,IF(#REF!&lt;VLOOKUP(U$5,NFI,5,0),1,0)*Table_NFI[[#This Row],[Winter Items Other]],Table_NFI[Winter Items Other])</f>
        <v>#REF!</v>
      </c>
      <c r="AM14" s="228" t="e">
        <f>IF(NFI_Expiration=1,IF(#REF!&lt;VLOOKUP(N$5,NFI,5,0),1,0)*Table_NFI[[#This Row],[Winter Blanket]],Table_NFI[[#This Row],[Winter Blanket]])</f>
        <v>#REF!</v>
      </c>
      <c r="AN14" s="228">
        <f>IF(Table_NFI[[#This Row],[Winter Clothes Adult]]+Table_NFI[[#This Row],[Winter Clothes Children]]+Table_NFI[[#This Row],[Winter Items Other]]+Table_NFI[[#This Row],[Winter Blanket]]&gt;0,1,0)</f>
        <v>0</v>
      </c>
      <c r="AO14" s="229" t="e">
        <f>IF(NFI_Expiration=1,IF(#REF!&lt;VLOOKUP(W$5,NFI,5,0),1,0)*Table_NFI[[#This Row],[Jerry Can]],Table_NFI[Jerry Can])</f>
        <v>#REF!</v>
      </c>
      <c r="AP14" s="229" t="e">
        <f>IF(NFI_Expiration=1,IF(#REF!&lt;VLOOKUP(W$5,NFI,5,0),1,0)*Table_NFI[[#This Row],[Shelter Tool kit]],Table_NFI[Shelter Tool kit])</f>
        <v>#REF!</v>
      </c>
      <c r="AQ14" s="229" t="e">
        <f>IF(NFI_Expiration=1,IF(#REF!&lt;VLOOKUP(W$5,NFI,5,0),1,0)*Table_NFI[[#This Row],[Tent]],Table_NFI[Tent])</f>
        <v>#REF!</v>
      </c>
      <c r="AR14" s="230" t="str">
        <f>IFERROR(VLOOKUP(Table_NFI[[#This Row],[Location]],CL,2,0),"")</f>
        <v/>
      </c>
      <c r="AS14" s="668"/>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c r="CQ14" s="390"/>
      <c r="CR14" s="390"/>
      <c r="CS14" s="390"/>
      <c r="CT14" s="390"/>
      <c r="CU14" s="390"/>
      <c r="CV14" s="390"/>
      <c r="CW14" s="390"/>
      <c r="CX14" s="390"/>
      <c r="CY14" s="390"/>
      <c r="CZ14" s="390"/>
      <c r="DA14" s="390"/>
      <c r="DB14" s="390"/>
      <c r="DC14" s="390"/>
      <c r="DD14" s="390"/>
      <c r="DE14" s="390"/>
      <c r="DF14" s="390"/>
      <c r="DG14" s="390"/>
      <c r="DH14" s="390"/>
      <c r="DI14" s="390"/>
      <c r="DJ14" s="390"/>
      <c r="DK14" s="390"/>
      <c r="DL14" s="390"/>
      <c r="DM14" s="390"/>
    </row>
    <row r="15" spans="1:118" s="213" customFormat="1" ht="13.9" customHeight="1" x14ac:dyDescent="0.25">
      <c r="B15" s="749">
        <v>42963</v>
      </c>
      <c r="C15" s="627" t="s">
        <v>1567</v>
      </c>
      <c r="D15" s="802"/>
      <c r="E15" s="627" t="s">
        <v>378</v>
      </c>
      <c r="F15" s="627" t="s">
        <v>5</v>
      </c>
      <c r="G15" s="627" t="s">
        <v>584</v>
      </c>
      <c r="H15" s="626"/>
      <c r="I15" s="409"/>
      <c r="J15" s="409"/>
      <c r="K15" s="409"/>
      <c r="L15" s="409">
        <v>68</v>
      </c>
      <c r="M15" s="409"/>
      <c r="N15" s="409">
        <v>68</v>
      </c>
      <c r="O15" s="409">
        <v>34</v>
      </c>
      <c r="P15" s="409"/>
      <c r="Q15" s="409"/>
      <c r="R15" s="409">
        <v>68</v>
      </c>
      <c r="S15" s="409"/>
      <c r="T15" s="409"/>
      <c r="U15" s="409"/>
      <c r="V15" s="409"/>
      <c r="W15" s="410"/>
      <c r="X15" s="410"/>
      <c r="Y15" s="410"/>
      <c r="Z15" s="410"/>
      <c r="AA15" s="228" t="e">
        <f>IF(NFI_Expiration=1,IF(#REF!&lt;VLOOKUP(J$5,NFI,5,0),1,0)*Table_NFI[[#This Row],[NFI Core Kit]],Table_NFI[NFI Core Kit])</f>
        <v>#REF!</v>
      </c>
      <c r="AB15" s="228" t="e">
        <f>IF(NFI_Expiration=1,IF(#REF!&lt;VLOOKUP(K$5,NFI,5,0),1,0)*Table_NFI[[#This Row],[Sanitary Kit]],Table_NFI[Sanitary Kit])</f>
        <v>#REF!</v>
      </c>
      <c r="AC15" s="228" t="e">
        <f>IF(NFI_Expiration=1,IF(#REF!&lt;VLOOKUP(L$5,NFI,5,0),1,0)*Table_NFI[[#This Row],[Mosquito net]],Table_NFI[Mosquito net])</f>
        <v>#REF!</v>
      </c>
      <c r="AD15" s="228" t="e">
        <f>IF(NFI_Expiration=1,IF(#REF!&lt;VLOOKUP(M$5,NFI,5,0),1,0)*Table_NFI[[#This Row],[Tarpaulin]],Table_NFI[[#This Row],[Tarpaulin]])</f>
        <v>#REF!</v>
      </c>
      <c r="AE15" s="228" t="e">
        <f>IF(NFI_Expiration=1,IF(#REF!&lt;VLOOKUP(N$5,NFI,5,0),1,0)*Table_NFI[[#This Row],[Blanket]],Table_NFI[[#This Row],[Blanket]])</f>
        <v>#REF!</v>
      </c>
      <c r="AF15" s="228" t="e">
        <f>IF(NFI_Expiration=1,IF(#REF!&lt;VLOOKUP(O$5,NFI,5,0),1,0)*Table_NFI[[#This Row],[Kitchen Set]],Table_NFI[Kitchen Set])</f>
        <v>#REF!</v>
      </c>
      <c r="AG15" s="228" t="e">
        <f>IF(NFI_Expiration=1,IF(#REF!&lt;VLOOKUP(P$5,NFI,5,0),1,0)*Table_NFI[[#This Row],[Clothes Kit]],Table_NFI[Clothes Kit])</f>
        <v>#REF!</v>
      </c>
      <c r="AH15" s="228" t="e">
        <f>IF(NFI_Expiration=1,IF(#REF!&lt;VLOOKUP(Q$5,NFI,5,0),1,0)*Table_NFI[[#This Row],[Plastic Bucket]],Table_NFI[Plastic Bucket])</f>
        <v>#REF!</v>
      </c>
      <c r="AI15" s="228" t="e">
        <f>IF(NFI_Expiration=1,IF(#REF!&lt;VLOOKUP(R$5,NFI,5,0),1,0)*Table_NFI[[#This Row],[Plastic Mat]],Table_NFI[Plastic Mat])*IF(Table_NFI[[#This Row],[Distribution Date]]&gt;"2014-04-01",1,2.5)</f>
        <v>#REF!</v>
      </c>
      <c r="AJ15" s="228" t="e">
        <f>IF(NFI_Expiration=1,IF(#REF!&lt;VLOOKUP(S$5,NFI,5,0),1,0)*Table_NFI[[#This Row],[Winter Clothes Adult]],Table_NFI[Winter Clothes Adult])</f>
        <v>#REF!</v>
      </c>
      <c r="AK15" s="228" t="e">
        <f>IF(NFI_Expiration=1,IF(#REF!&lt;VLOOKUP(T$5,NFI,5,0),1,0)*Table_NFI[[#This Row],[Winter Clothes Children]],Table_NFI[Winter Clothes Children])</f>
        <v>#REF!</v>
      </c>
      <c r="AL15" s="228" t="e">
        <f>IF(NFI_Expiration=1,IF(#REF!&lt;VLOOKUP(U$5,NFI,5,0),1,0)*Table_NFI[[#This Row],[Winter Items Other]],Table_NFI[Winter Items Other])</f>
        <v>#REF!</v>
      </c>
      <c r="AM15" s="228" t="e">
        <f>IF(NFI_Expiration=1,IF(#REF!&lt;VLOOKUP(N$5,NFI,5,0),1,0)*Table_NFI[[#This Row],[Winter Blanket]],Table_NFI[[#This Row],[Winter Blanket]])</f>
        <v>#REF!</v>
      </c>
      <c r="AN15" s="228">
        <f>IF(Table_NFI[[#This Row],[Winter Clothes Adult]]+Table_NFI[[#This Row],[Winter Clothes Children]]+Table_NFI[[#This Row],[Winter Items Other]]+Table_NFI[[#This Row],[Winter Blanket]]&gt;0,1,0)</f>
        <v>0</v>
      </c>
      <c r="AO15" s="229" t="e">
        <f>IF(NFI_Expiration=1,IF(#REF!&lt;VLOOKUP(W$5,NFI,5,0),1,0)*Table_NFI[[#This Row],[Jerry Can]],Table_NFI[Jerry Can])</f>
        <v>#REF!</v>
      </c>
      <c r="AP15" s="229" t="e">
        <f>IF(NFI_Expiration=1,IF(#REF!&lt;VLOOKUP(W$5,NFI,5,0),1,0)*Table_NFI[[#This Row],[Shelter Tool kit]],Table_NFI[Shelter Tool kit])</f>
        <v>#REF!</v>
      </c>
      <c r="AQ15" s="229" t="e">
        <f>IF(NFI_Expiration=1,IF(#REF!&lt;VLOOKUP(W$5,NFI,5,0),1,0)*Table_NFI[[#This Row],[Tent]],Table_NFI[Tent])</f>
        <v>#REF!</v>
      </c>
      <c r="AR15" s="230" t="str">
        <f>IFERROR(VLOOKUP(Table_NFI[[#This Row],[Location]],CL,2,0),"")</f>
        <v/>
      </c>
      <c r="AS15" s="668"/>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c r="CQ15" s="390"/>
      <c r="CR15" s="390"/>
      <c r="CS15" s="390"/>
      <c r="CT15" s="390"/>
      <c r="CU15" s="390"/>
      <c r="CV15" s="390"/>
      <c r="CW15" s="390"/>
      <c r="CX15" s="390"/>
      <c r="CY15" s="390"/>
      <c r="CZ15" s="390"/>
      <c r="DA15" s="390"/>
      <c r="DB15" s="390"/>
      <c r="DC15" s="390"/>
      <c r="DD15" s="390"/>
      <c r="DE15" s="390"/>
      <c r="DF15" s="390"/>
      <c r="DG15" s="390"/>
      <c r="DH15" s="390"/>
      <c r="DI15" s="390"/>
      <c r="DJ15" s="390"/>
      <c r="DK15" s="390"/>
      <c r="DL15" s="390"/>
      <c r="DM15" s="390"/>
    </row>
    <row r="16" spans="1:118" s="213" customFormat="1" ht="13.9" customHeight="1" x14ac:dyDescent="0.25">
      <c r="B16" s="749">
        <v>42963</v>
      </c>
      <c r="C16" s="627" t="s">
        <v>1567</v>
      </c>
      <c r="D16" s="802"/>
      <c r="E16" s="627" t="s">
        <v>378</v>
      </c>
      <c r="F16" s="627" t="s">
        <v>5</v>
      </c>
      <c r="G16" s="627" t="s">
        <v>1737</v>
      </c>
      <c r="H16" s="626"/>
      <c r="I16" s="409"/>
      <c r="J16" s="409"/>
      <c r="K16" s="409"/>
      <c r="L16" s="409">
        <v>166</v>
      </c>
      <c r="M16" s="409"/>
      <c r="N16" s="409">
        <v>166</v>
      </c>
      <c r="O16" s="409">
        <v>83</v>
      </c>
      <c r="P16" s="409"/>
      <c r="Q16" s="409"/>
      <c r="R16" s="409">
        <v>166</v>
      </c>
      <c r="S16" s="409"/>
      <c r="T16" s="409"/>
      <c r="U16" s="409"/>
      <c r="V16" s="409"/>
      <c r="W16" s="410"/>
      <c r="X16" s="410"/>
      <c r="Y16" s="410"/>
      <c r="Z16" s="410"/>
      <c r="AA16" s="228" t="e">
        <f>IF(NFI_Expiration=1,IF(#REF!&lt;VLOOKUP(J$5,NFI,5,0),1,0)*Table_NFI[[#This Row],[NFI Core Kit]],Table_NFI[NFI Core Kit])</f>
        <v>#REF!</v>
      </c>
      <c r="AB16" s="228" t="e">
        <f>IF(NFI_Expiration=1,IF(#REF!&lt;VLOOKUP(K$5,NFI,5,0),1,0)*Table_NFI[[#This Row],[Sanitary Kit]],Table_NFI[Sanitary Kit])</f>
        <v>#REF!</v>
      </c>
      <c r="AC16" s="228" t="e">
        <f>IF(NFI_Expiration=1,IF(#REF!&lt;VLOOKUP(L$5,NFI,5,0),1,0)*Table_NFI[[#This Row],[Mosquito net]],Table_NFI[Mosquito net])</f>
        <v>#REF!</v>
      </c>
      <c r="AD16" s="228" t="e">
        <f>IF(NFI_Expiration=1,IF(#REF!&lt;VLOOKUP(M$5,NFI,5,0),1,0)*Table_NFI[[#This Row],[Tarpaulin]],Table_NFI[[#This Row],[Tarpaulin]])</f>
        <v>#REF!</v>
      </c>
      <c r="AE16" s="228" t="e">
        <f>IF(NFI_Expiration=1,IF(#REF!&lt;VLOOKUP(N$5,NFI,5,0),1,0)*Table_NFI[[#This Row],[Blanket]],Table_NFI[[#This Row],[Blanket]])</f>
        <v>#REF!</v>
      </c>
      <c r="AF16" s="228" t="e">
        <f>IF(NFI_Expiration=1,IF(#REF!&lt;VLOOKUP(O$5,NFI,5,0),1,0)*Table_NFI[[#This Row],[Kitchen Set]],Table_NFI[Kitchen Set])</f>
        <v>#REF!</v>
      </c>
      <c r="AG16" s="228" t="e">
        <f>IF(NFI_Expiration=1,IF(#REF!&lt;VLOOKUP(P$5,NFI,5,0),1,0)*Table_NFI[[#This Row],[Clothes Kit]],Table_NFI[Clothes Kit])</f>
        <v>#REF!</v>
      </c>
      <c r="AH16" s="228" t="e">
        <f>IF(NFI_Expiration=1,IF(#REF!&lt;VLOOKUP(Q$5,NFI,5,0),1,0)*Table_NFI[[#This Row],[Plastic Bucket]],Table_NFI[Plastic Bucket])</f>
        <v>#REF!</v>
      </c>
      <c r="AI16" s="228" t="e">
        <f>IF(NFI_Expiration=1,IF(#REF!&lt;VLOOKUP(R$5,NFI,5,0),1,0)*Table_NFI[[#This Row],[Plastic Mat]],Table_NFI[Plastic Mat])*IF(Table_NFI[[#This Row],[Distribution Date]]&gt;"2014-04-01",1,2.5)</f>
        <v>#REF!</v>
      </c>
      <c r="AJ16" s="228" t="e">
        <f>IF(NFI_Expiration=1,IF(#REF!&lt;VLOOKUP(S$5,NFI,5,0),1,0)*Table_NFI[[#This Row],[Winter Clothes Adult]],Table_NFI[Winter Clothes Adult])</f>
        <v>#REF!</v>
      </c>
      <c r="AK16" s="228" t="e">
        <f>IF(NFI_Expiration=1,IF(#REF!&lt;VLOOKUP(T$5,NFI,5,0),1,0)*Table_NFI[[#This Row],[Winter Clothes Children]],Table_NFI[Winter Clothes Children])</f>
        <v>#REF!</v>
      </c>
      <c r="AL16" s="228" t="e">
        <f>IF(NFI_Expiration=1,IF(#REF!&lt;VLOOKUP(U$5,NFI,5,0),1,0)*Table_NFI[[#This Row],[Winter Items Other]],Table_NFI[Winter Items Other])</f>
        <v>#REF!</v>
      </c>
      <c r="AM16" s="228" t="e">
        <f>IF(NFI_Expiration=1,IF(#REF!&lt;VLOOKUP(N$5,NFI,5,0),1,0)*Table_NFI[[#This Row],[Winter Blanket]],Table_NFI[[#This Row],[Winter Blanket]])</f>
        <v>#REF!</v>
      </c>
      <c r="AN16" s="228">
        <f>IF(Table_NFI[[#This Row],[Winter Clothes Adult]]+Table_NFI[[#This Row],[Winter Clothes Children]]+Table_NFI[[#This Row],[Winter Items Other]]+Table_NFI[[#This Row],[Winter Blanket]]&gt;0,1,0)</f>
        <v>0</v>
      </c>
      <c r="AO16" s="229" t="e">
        <f>IF(NFI_Expiration=1,IF(#REF!&lt;VLOOKUP(W$5,NFI,5,0),1,0)*Table_NFI[[#This Row],[Jerry Can]],Table_NFI[Jerry Can])</f>
        <v>#REF!</v>
      </c>
      <c r="AP16" s="229" t="e">
        <f>IF(NFI_Expiration=1,IF(#REF!&lt;VLOOKUP(W$5,NFI,5,0),1,0)*Table_NFI[[#This Row],[Shelter Tool kit]],Table_NFI[Shelter Tool kit])</f>
        <v>#REF!</v>
      </c>
      <c r="AQ16" s="229" t="e">
        <f>IF(NFI_Expiration=1,IF(#REF!&lt;VLOOKUP(W$5,NFI,5,0),1,0)*Table_NFI[[#This Row],[Tent]],Table_NFI[Tent])</f>
        <v>#REF!</v>
      </c>
      <c r="AR16" s="230" t="str">
        <f>IFERROR(VLOOKUP(Table_NFI[[#This Row],[Location]],CL,2,0),"")</f>
        <v/>
      </c>
      <c r="AS16" s="668"/>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90"/>
      <c r="CR16" s="390"/>
      <c r="CS16" s="390"/>
      <c r="CT16" s="390"/>
      <c r="CU16" s="390"/>
      <c r="CV16" s="390"/>
      <c r="CW16" s="390"/>
      <c r="CX16" s="390"/>
      <c r="CY16" s="390"/>
      <c r="CZ16" s="390"/>
      <c r="DA16" s="390"/>
      <c r="DB16" s="390"/>
      <c r="DC16" s="390"/>
      <c r="DD16" s="390"/>
      <c r="DE16" s="390"/>
      <c r="DF16" s="390"/>
      <c r="DG16" s="390"/>
      <c r="DH16" s="390"/>
      <c r="DI16" s="390"/>
      <c r="DJ16" s="390"/>
      <c r="DK16" s="390"/>
      <c r="DL16" s="390"/>
      <c r="DM16" s="390"/>
    </row>
    <row r="17" spans="2:117" s="213" customFormat="1" ht="18" customHeight="1" x14ac:dyDescent="0.25">
      <c r="B17" s="815">
        <v>42954</v>
      </c>
      <c r="C17" s="816" t="s">
        <v>1296</v>
      </c>
      <c r="D17" s="816" t="s">
        <v>424</v>
      </c>
      <c r="E17" s="816" t="s">
        <v>378</v>
      </c>
      <c r="F17" s="816" t="s">
        <v>301</v>
      </c>
      <c r="G17" s="816" t="s">
        <v>1734</v>
      </c>
      <c r="H17" s="626"/>
      <c r="I17" s="409"/>
      <c r="J17" s="409"/>
      <c r="K17" s="409"/>
      <c r="L17" s="409">
        <v>60</v>
      </c>
      <c r="M17" s="409">
        <v>10</v>
      </c>
      <c r="N17" s="409">
        <v>60</v>
      </c>
      <c r="O17" s="409"/>
      <c r="P17" s="409">
        <v>60</v>
      </c>
      <c r="Q17" s="409">
        <v>30</v>
      </c>
      <c r="R17" s="409">
        <v>60</v>
      </c>
      <c r="S17" s="409"/>
      <c r="T17" s="409"/>
      <c r="U17" s="409"/>
      <c r="V17" s="409"/>
      <c r="W17" s="410"/>
      <c r="X17" s="410">
        <v>60</v>
      </c>
      <c r="Y17" s="410"/>
      <c r="Z17" s="410"/>
      <c r="AA17" s="228" t="e">
        <f>IF(NFI_Expiration=1,IF(#REF!&lt;VLOOKUP(J$5,NFI,5,0),1,0)*Table_NFI[[#This Row],[NFI Core Kit]],Table_NFI[NFI Core Kit])</f>
        <v>#REF!</v>
      </c>
      <c r="AB17" s="228" t="e">
        <f>IF(NFI_Expiration=1,IF(#REF!&lt;VLOOKUP(K$5,NFI,5,0),1,0)*Table_NFI[[#This Row],[Sanitary Kit]],Table_NFI[Sanitary Kit])</f>
        <v>#REF!</v>
      </c>
      <c r="AC17" s="228" t="e">
        <f>IF(NFI_Expiration=1,IF(#REF!&lt;VLOOKUP(L$5,NFI,5,0),1,0)*Table_NFI[[#This Row],[Mosquito net]],Table_NFI[Mosquito net])</f>
        <v>#REF!</v>
      </c>
      <c r="AD17" s="228" t="e">
        <f>IF(NFI_Expiration=1,IF(#REF!&lt;VLOOKUP(M$5,NFI,5,0),1,0)*Table_NFI[[#This Row],[Tarpaulin]],Table_NFI[[#This Row],[Tarpaulin]])</f>
        <v>#REF!</v>
      </c>
      <c r="AE17" s="228" t="e">
        <f>IF(NFI_Expiration=1,IF(#REF!&lt;VLOOKUP(N$5,NFI,5,0),1,0)*Table_NFI[[#This Row],[Blanket]],Table_NFI[[#This Row],[Blanket]])</f>
        <v>#REF!</v>
      </c>
      <c r="AF17" s="228" t="e">
        <f>IF(NFI_Expiration=1,IF(#REF!&lt;VLOOKUP(O$5,NFI,5,0),1,0)*Table_NFI[[#This Row],[Kitchen Set]],Table_NFI[Kitchen Set])</f>
        <v>#REF!</v>
      </c>
      <c r="AG17" s="228" t="e">
        <f>IF(NFI_Expiration=1,IF(#REF!&lt;VLOOKUP(P$5,NFI,5,0),1,0)*Table_NFI[[#This Row],[Clothes Kit]],Table_NFI[Clothes Kit])</f>
        <v>#REF!</v>
      </c>
      <c r="AH17" s="228" t="e">
        <f>IF(NFI_Expiration=1,IF(#REF!&lt;VLOOKUP(Q$5,NFI,5,0),1,0)*Table_NFI[[#This Row],[Plastic Bucket]],Table_NFI[Plastic Bucket])</f>
        <v>#REF!</v>
      </c>
      <c r="AI17" s="228" t="e">
        <f>IF(NFI_Expiration=1,IF(#REF!&lt;VLOOKUP(R$5,NFI,5,0),1,0)*Table_NFI[[#This Row],[Plastic Mat]],Table_NFI[Plastic Mat])*IF(Table_NFI[[#This Row],[Distribution Date]]&gt;"2014-04-01",1,2.5)</f>
        <v>#REF!</v>
      </c>
      <c r="AJ17" s="228" t="e">
        <f>IF(NFI_Expiration=1,IF(#REF!&lt;VLOOKUP(S$5,NFI,5,0),1,0)*Table_NFI[[#This Row],[Winter Clothes Adult]],Table_NFI[Winter Clothes Adult])</f>
        <v>#REF!</v>
      </c>
      <c r="AK17" s="228" t="e">
        <f>IF(NFI_Expiration=1,IF(#REF!&lt;VLOOKUP(T$5,NFI,5,0),1,0)*Table_NFI[[#This Row],[Winter Clothes Children]],Table_NFI[Winter Clothes Children])</f>
        <v>#REF!</v>
      </c>
      <c r="AL17" s="228" t="e">
        <f>IF(NFI_Expiration=1,IF(#REF!&lt;VLOOKUP(U$5,NFI,5,0),1,0)*Table_NFI[[#This Row],[Winter Items Other]],Table_NFI[Winter Items Other])</f>
        <v>#REF!</v>
      </c>
      <c r="AM17" s="228" t="e">
        <f>IF(NFI_Expiration=1,IF(#REF!&lt;VLOOKUP(N$5,NFI,5,0),1,0)*Table_NFI[[#This Row],[Winter Blanket]],Table_NFI[[#This Row],[Winter Blanket]])</f>
        <v>#REF!</v>
      </c>
      <c r="AN17" s="228">
        <f>IF(Table_NFI[[#This Row],[Winter Clothes Adult]]+Table_NFI[[#This Row],[Winter Clothes Children]]+Table_NFI[[#This Row],[Winter Items Other]]+Table_NFI[[#This Row],[Winter Blanket]]&gt;0,1,0)</f>
        <v>0</v>
      </c>
      <c r="AO17" s="229" t="e">
        <f>IF(NFI_Expiration=1,IF(#REF!&lt;VLOOKUP(W$5,NFI,5,0),1,0)*Table_NFI[[#This Row],[Jerry Can]],Table_NFI[Jerry Can])</f>
        <v>#REF!</v>
      </c>
      <c r="AP17" s="229" t="e">
        <f>IF(NFI_Expiration=1,IF(#REF!&lt;VLOOKUP(W$5,NFI,5,0),1,0)*Table_NFI[[#This Row],[Shelter Tool kit]],Table_NFI[Shelter Tool kit])</f>
        <v>#REF!</v>
      </c>
      <c r="AQ17" s="229" t="e">
        <f>IF(NFI_Expiration=1,IF(#REF!&lt;VLOOKUP(W$5,NFI,5,0),1,0)*Table_NFI[[#This Row],[Tent]],Table_NFI[Tent])</f>
        <v>#REF!</v>
      </c>
      <c r="AR17" s="230" t="str">
        <f>IFERROR(VLOOKUP(Table_NFI[[#This Row],[Location]],CL,2,0),"")</f>
        <v/>
      </c>
      <c r="AS17" s="668"/>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390"/>
      <c r="CO17" s="390"/>
      <c r="CP17" s="390"/>
      <c r="CQ17" s="390"/>
      <c r="CR17" s="390"/>
      <c r="CS17" s="390"/>
      <c r="CT17" s="390"/>
      <c r="CU17" s="390"/>
      <c r="CV17" s="390"/>
      <c r="CW17" s="390"/>
      <c r="CX17" s="390"/>
      <c r="CY17" s="390"/>
      <c r="CZ17" s="390"/>
      <c r="DA17" s="390"/>
      <c r="DB17" s="390"/>
      <c r="DC17" s="390"/>
      <c r="DD17" s="390"/>
      <c r="DE17" s="390"/>
      <c r="DF17" s="390"/>
      <c r="DG17" s="390"/>
      <c r="DH17" s="390"/>
      <c r="DI17" s="390"/>
      <c r="DJ17" s="390"/>
      <c r="DK17" s="390"/>
      <c r="DL17" s="390"/>
      <c r="DM17" s="390"/>
    </row>
    <row r="18" spans="2:117" s="213" customFormat="1" ht="18" customHeight="1" x14ac:dyDescent="0.25">
      <c r="B18" s="814">
        <v>42948</v>
      </c>
      <c r="C18" s="808" t="s">
        <v>1296</v>
      </c>
      <c r="D18" s="808"/>
      <c r="E18" s="808" t="s">
        <v>378</v>
      </c>
      <c r="F18" s="808" t="s">
        <v>185</v>
      </c>
      <c r="G18" s="808" t="s">
        <v>190</v>
      </c>
      <c r="H18" s="626"/>
      <c r="I18" s="409"/>
      <c r="J18" s="409"/>
      <c r="K18" s="409"/>
      <c r="L18" s="409"/>
      <c r="M18" s="409">
        <v>2</v>
      </c>
      <c r="N18" s="409"/>
      <c r="O18" s="409"/>
      <c r="P18" s="409"/>
      <c r="Q18" s="409"/>
      <c r="R18" s="409"/>
      <c r="S18" s="409"/>
      <c r="T18" s="409"/>
      <c r="U18" s="409"/>
      <c r="V18" s="409"/>
      <c r="W18" s="410"/>
      <c r="X18" s="410"/>
      <c r="Y18" s="410"/>
      <c r="Z18" s="410"/>
      <c r="AA18" s="228" t="e">
        <f>IF(NFI_Expiration=1,IF(#REF!&lt;VLOOKUP(J$5,NFI,5,0),1,0)*Table_NFI[[#This Row],[NFI Core Kit]],Table_NFI[NFI Core Kit])</f>
        <v>#REF!</v>
      </c>
      <c r="AB18" s="228" t="e">
        <f>IF(NFI_Expiration=1,IF(#REF!&lt;VLOOKUP(K$5,NFI,5,0),1,0)*Table_NFI[[#This Row],[Sanitary Kit]],Table_NFI[Sanitary Kit])</f>
        <v>#REF!</v>
      </c>
      <c r="AC18" s="228" t="e">
        <f>IF(NFI_Expiration=1,IF(#REF!&lt;VLOOKUP(L$5,NFI,5,0),1,0)*Table_NFI[[#This Row],[Mosquito net]],Table_NFI[Mosquito net])</f>
        <v>#REF!</v>
      </c>
      <c r="AD18" s="228" t="e">
        <f>IF(NFI_Expiration=1,IF(#REF!&lt;VLOOKUP(M$5,NFI,5,0),1,0)*Table_NFI[[#This Row],[Tarpaulin]],Table_NFI[[#This Row],[Tarpaulin]])</f>
        <v>#REF!</v>
      </c>
      <c r="AE18" s="228" t="e">
        <f>IF(NFI_Expiration=1,IF(#REF!&lt;VLOOKUP(N$5,NFI,5,0),1,0)*Table_NFI[[#This Row],[Blanket]],Table_NFI[[#This Row],[Blanket]])</f>
        <v>#REF!</v>
      </c>
      <c r="AF18" s="228" t="e">
        <f>IF(NFI_Expiration=1,IF(#REF!&lt;VLOOKUP(O$5,NFI,5,0),1,0)*Table_NFI[[#This Row],[Kitchen Set]],Table_NFI[Kitchen Set])</f>
        <v>#REF!</v>
      </c>
      <c r="AG18" s="228" t="e">
        <f>IF(NFI_Expiration=1,IF(#REF!&lt;VLOOKUP(P$5,NFI,5,0),1,0)*Table_NFI[[#This Row],[Clothes Kit]],Table_NFI[Clothes Kit])</f>
        <v>#REF!</v>
      </c>
      <c r="AH18" s="228" t="e">
        <f>IF(NFI_Expiration=1,IF(#REF!&lt;VLOOKUP(Q$5,NFI,5,0),1,0)*Table_NFI[[#This Row],[Plastic Bucket]],Table_NFI[Plastic Bucket])</f>
        <v>#REF!</v>
      </c>
      <c r="AI18" s="228" t="e">
        <f>IF(NFI_Expiration=1,IF(#REF!&lt;VLOOKUP(R$5,NFI,5,0),1,0)*Table_NFI[[#This Row],[Plastic Mat]],Table_NFI[Plastic Mat])*IF(Table_NFI[[#This Row],[Distribution Date]]&gt;"2014-04-01",1,2.5)</f>
        <v>#REF!</v>
      </c>
      <c r="AJ18" s="228" t="e">
        <f>IF(NFI_Expiration=1,IF(#REF!&lt;VLOOKUP(S$5,NFI,5,0),1,0)*Table_NFI[[#This Row],[Winter Clothes Adult]],Table_NFI[Winter Clothes Adult])</f>
        <v>#REF!</v>
      </c>
      <c r="AK18" s="228" t="e">
        <f>IF(NFI_Expiration=1,IF(#REF!&lt;VLOOKUP(T$5,NFI,5,0),1,0)*Table_NFI[[#This Row],[Winter Clothes Children]],Table_NFI[Winter Clothes Children])</f>
        <v>#REF!</v>
      </c>
      <c r="AL18" s="228" t="e">
        <f>IF(NFI_Expiration=1,IF(#REF!&lt;VLOOKUP(U$5,NFI,5,0),1,0)*Table_NFI[[#This Row],[Winter Items Other]],Table_NFI[Winter Items Other])</f>
        <v>#REF!</v>
      </c>
      <c r="AM18" s="228" t="e">
        <f>IF(NFI_Expiration=1,IF(#REF!&lt;VLOOKUP(N$5,NFI,5,0),1,0)*Table_NFI[[#This Row],[Winter Blanket]],Table_NFI[[#This Row],[Winter Blanket]])</f>
        <v>#REF!</v>
      </c>
      <c r="AN18" s="228">
        <f>IF(Table_NFI[[#This Row],[Winter Clothes Adult]]+Table_NFI[[#This Row],[Winter Clothes Children]]+Table_NFI[[#This Row],[Winter Items Other]]+Table_NFI[[#This Row],[Winter Blanket]]&gt;0,1,0)</f>
        <v>0</v>
      </c>
      <c r="AO18" s="229" t="e">
        <f>IF(NFI_Expiration=1,IF(#REF!&lt;VLOOKUP(W$5,NFI,5,0),1,0)*Table_NFI[[#This Row],[Jerry Can]],Table_NFI[Jerry Can])</f>
        <v>#REF!</v>
      </c>
      <c r="AP18" s="229" t="e">
        <f>IF(NFI_Expiration=1,IF(#REF!&lt;VLOOKUP(W$5,NFI,5,0),1,0)*Table_NFI[[#This Row],[Shelter Tool kit]],Table_NFI[Shelter Tool kit])</f>
        <v>#REF!</v>
      </c>
      <c r="AQ18" s="229" t="e">
        <f>IF(NFI_Expiration=1,IF(#REF!&lt;VLOOKUP(W$5,NFI,5,0),1,0)*Table_NFI[[#This Row],[Tent]],Table_NFI[Tent])</f>
        <v>#REF!</v>
      </c>
      <c r="AR18" s="230" t="str">
        <f>IFERROR(VLOOKUP(Table_NFI[[#This Row],[Location]],CL,2,0),"")</f>
        <v>MMR001CMP070</v>
      </c>
      <c r="AS18" s="668"/>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c r="CQ18" s="390"/>
      <c r="CR18" s="390"/>
      <c r="CS18" s="390"/>
      <c r="CT18" s="390"/>
      <c r="CU18" s="390"/>
      <c r="CV18" s="390"/>
      <c r="CW18" s="390"/>
      <c r="CX18" s="390"/>
      <c r="CY18" s="390"/>
      <c r="CZ18" s="390"/>
      <c r="DA18" s="390"/>
      <c r="DB18" s="390"/>
      <c r="DC18" s="390"/>
      <c r="DD18" s="390"/>
      <c r="DE18" s="390"/>
      <c r="DF18" s="390"/>
      <c r="DG18" s="390"/>
      <c r="DH18" s="390"/>
      <c r="DI18" s="390"/>
      <c r="DJ18" s="390"/>
      <c r="DK18" s="390"/>
      <c r="DL18" s="390"/>
      <c r="DM18" s="390"/>
    </row>
    <row r="19" spans="2:117" s="213" customFormat="1" ht="18" customHeight="1" x14ac:dyDescent="0.25">
      <c r="B19" s="815">
        <v>42948</v>
      </c>
      <c r="C19" s="816" t="s">
        <v>1296</v>
      </c>
      <c r="D19" s="816"/>
      <c r="E19" s="816" t="s">
        <v>378</v>
      </c>
      <c r="F19" s="816" t="s">
        <v>5</v>
      </c>
      <c r="G19" s="816" t="s">
        <v>24</v>
      </c>
      <c r="H19" s="626"/>
      <c r="I19" s="409"/>
      <c r="J19" s="409"/>
      <c r="K19" s="409"/>
      <c r="L19" s="409"/>
      <c r="M19" s="409">
        <v>2</v>
      </c>
      <c r="N19" s="409"/>
      <c r="O19" s="409"/>
      <c r="P19" s="409"/>
      <c r="Q19" s="409"/>
      <c r="R19" s="409"/>
      <c r="S19" s="409"/>
      <c r="T19" s="409"/>
      <c r="U19" s="409"/>
      <c r="V19" s="409"/>
      <c r="W19" s="410"/>
      <c r="X19" s="410"/>
      <c r="Y19" s="410"/>
      <c r="Z19" s="410"/>
      <c r="AA19" s="228" t="e">
        <f>IF(NFI_Expiration=1,IF(#REF!&lt;VLOOKUP(J$5,NFI,5,0),1,0)*Table_NFI[[#This Row],[NFI Core Kit]],Table_NFI[NFI Core Kit])</f>
        <v>#REF!</v>
      </c>
      <c r="AB19" s="228" t="e">
        <f>IF(NFI_Expiration=1,IF(#REF!&lt;VLOOKUP(K$5,NFI,5,0),1,0)*Table_NFI[[#This Row],[Sanitary Kit]],Table_NFI[Sanitary Kit])</f>
        <v>#REF!</v>
      </c>
      <c r="AC19" s="228" t="e">
        <f>IF(NFI_Expiration=1,IF(#REF!&lt;VLOOKUP(L$5,NFI,5,0),1,0)*Table_NFI[[#This Row],[Mosquito net]],Table_NFI[Mosquito net])</f>
        <v>#REF!</v>
      </c>
      <c r="AD19" s="228" t="e">
        <f>IF(NFI_Expiration=1,IF(#REF!&lt;VLOOKUP(M$5,NFI,5,0),1,0)*Table_NFI[[#This Row],[Tarpaulin]],Table_NFI[[#This Row],[Tarpaulin]])</f>
        <v>#REF!</v>
      </c>
      <c r="AE19" s="228" t="e">
        <f>IF(NFI_Expiration=1,IF(#REF!&lt;VLOOKUP(N$5,NFI,5,0),1,0)*Table_NFI[[#This Row],[Blanket]],Table_NFI[[#This Row],[Blanket]])</f>
        <v>#REF!</v>
      </c>
      <c r="AF19" s="228" t="e">
        <f>IF(NFI_Expiration=1,IF(#REF!&lt;VLOOKUP(O$5,NFI,5,0),1,0)*Table_NFI[[#This Row],[Kitchen Set]],Table_NFI[Kitchen Set])</f>
        <v>#REF!</v>
      </c>
      <c r="AG19" s="228" t="e">
        <f>IF(NFI_Expiration=1,IF(#REF!&lt;VLOOKUP(P$5,NFI,5,0),1,0)*Table_NFI[[#This Row],[Clothes Kit]],Table_NFI[Clothes Kit])</f>
        <v>#REF!</v>
      </c>
      <c r="AH19" s="228" t="e">
        <f>IF(NFI_Expiration=1,IF(#REF!&lt;VLOOKUP(Q$5,NFI,5,0),1,0)*Table_NFI[[#This Row],[Plastic Bucket]],Table_NFI[Plastic Bucket])</f>
        <v>#REF!</v>
      </c>
      <c r="AI19" s="228" t="e">
        <f>IF(NFI_Expiration=1,IF(#REF!&lt;VLOOKUP(R$5,NFI,5,0),1,0)*Table_NFI[[#This Row],[Plastic Mat]],Table_NFI[Plastic Mat])*IF(Table_NFI[[#This Row],[Distribution Date]]&gt;"2014-04-01",1,2.5)</f>
        <v>#REF!</v>
      </c>
      <c r="AJ19" s="228" t="e">
        <f>IF(NFI_Expiration=1,IF(#REF!&lt;VLOOKUP(S$5,NFI,5,0),1,0)*Table_NFI[[#This Row],[Winter Clothes Adult]],Table_NFI[Winter Clothes Adult])</f>
        <v>#REF!</v>
      </c>
      <c r="AK19" s="228" t="e">
        <f>IF(NFI_Expiration=1,IF(#REF!&lt;VLOOKUP(T$5,NFI,5,0),1,0)*Table_NFI[[#This Row],[Winter Clothes Children]],Table_NFI[Winter Clothes Children])</f>
        <v>#REF!</v>
      </c>
      <c r="AL19" s="228" t="e">
        <f>IF(NFI_Expiration=1,IF(#REF!&lt;VLOOKUP(U$5,NFI,5,0),1,0)*Table_NFI[[#This Row],[Winter Items Other]],Table_NFI[Winter Items Other])</f>
        <v>#REF!</v>
      </c>
      <c r="AM19" s="228" t="e">
        <f>IF(NFI_Expiration=1,IF(#REF!&lt;VLOOKUP(N$5,NFI,5,0),1,0)*Table_NFI[[#This Row],[Winter Blanket]],Table_NFI[[#This Row],[Winter Blanket]])</f>
        <v>#REF!</v>
      </c>
      <c r="AN19" s="228">
        <f>IF(Table_NFI[[#This Row],[Winter Clothes Adult]]+Table_NFI[[#This Row],[Winter Clothes Children]]+Table_NFI[[#This Row],[Winter Items Other]]+Table_NFI[[#This Row],[Winter Blanket]]&gt;0,1,0)</f>
        <v>0</v>
      </c>
      <c r="AO19" s="229" t="e">
        <f>IF(NFI_Expiration=1,IF(#REF!&lt;VLOOKUP(W$5,NFI,5,0),1,0)*Table_NFI[[#This Row],[Jerry Can]],Table_NFI[Jerry Can])</f>
        <v>#REF!</v>
      </c>
      <c r="AP19" s="229" t="e">
        <f>IF(NFI_Expiration=1,IF(#REF!&lt;VLOOKUP(W$5,NFI,5,0),1,0)*Table_NFI[[#This Row],[Shelter Tool kit]],Table_NFI[Shelter Tool kit])</f>
        <v>#REF!</v>
      </c>
      <c r="AQ19" s="229" t="e">
        <f>IF(NFI_Expiration=1,IF(#REF!&lt;VLOOKUP(W$5,NFI,5,0),1,0)*Table_NFI[[#This Row],[Tent]],Table_NFI[Tent])</f>
        <v>#REF!</v>
      </c>
      <c r="AR19" s="230" t="str">
        <f>IFERROR(VLOOKUP(Table_NFI[[#This Row],[Location]],CL,2,0),"")</f>
        <v>MMR001CMP055</v>
      </c>
      <c r="AS19" s="668"/>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c r="CI19" s="390"/>
      <c r="CJ19" s="390"/>
      <c r="CK19" s="390"/>
      <c r="CL19" s="390"/>
      <c r="CM19" s="390"/>
      <c r="CN19" s="390"/>
      <c r="CO19" s="390"/>
      <c r="CP19" s="390"/>
      <c r="CQ19" s="390"/>
      <c r="CR19" s="390"/>
      <c r="CS19" s="390"/>
      <c r="CT19" s="390"/>
      <c r="CU19" s="390"/>
      <c r="CV19" s="390"/>
      <c r="CW19" s="390"/>
      <c r="CX19" s="390"/>
      <c r="CY19" s="390"/>
      <c r="CZ19" s="390"/>
      <c r="DA19" s="390"/>
      <c r="DB19" s="390"/>
      <c r="DC19" s="390"/>
      <c r="DD19" s="390"/>
      <c r="DE19" s="390"/>
      <c r="DF19" s="390"/>
      <c r="DG19" s="390"/>
      <c r="DH19" s="390"/>
      <c r="DI19" s="390"/>
      <c r="DJ19" s="390"/>
      <c r="DK19" s="390"/>
      <c r="DL19" s="390"/>
      <c r="DM19" s="390"/>
    </row>
    <row r="20" spans="2:117" s="213" customFormat="1" ht="18" customHeight="1" x14ac:dyDescent="0.25">
      <c r="B20" s="814">
        <v>42962</v>
      </c>
      <c r="C20" s="808" t="s">
        <v>1296</v>
      </c>
      <c r="D20" s="808"/>
      <c r="E20" s="808" t="s">
        <v>378</v>
      </c>
      <c r="F20" s="808" t="s">
        <v>151</v>
      </c>
      <c r="G20" s="808" t="s">
        <v>813</v>
      </c>
      <c r="H20" s="626"/>
      <c r="I20" s="409"/>
      <c r="J20" s="409"/>
      <c r="K20" s="409"/>
      <c r="L20" s="409"/>
      <c r="M20" s="409"/>
      <c r="N20" s="409"/>
      <c r="O20" s="409"/>
      <c r="P20" s="409"/>
      <c r="Q20" s="409"/>
      <c r="R20" s="409"/>
      <c r="S20" s="409"/>
      <c r="T20" s="409"/>
      <c r="U20" s="409"/>
      <c r="V20" s="409"/>
      <c r="W20" s="410"/>
      <c r="X20" s="410">
        <v>166</v>
      </c>
      <c r="Y20" s="410"/>
      <c r="Z20" s="410"/>
      <c r="AA20" s="228" t="e">
        <f>IF(NFI_Expiration=1,IF(#REF!&lt;VLOOKUP(J$5,NFI,5,0),1,0)*Table_NFI[[#This Row],[NFI Core Kit]],Table_NFI[NFI Core Kit])</f>
        <v>#REF!</v>
      </c>
      <c r="AB20" s="228" t="e">
        <f>IF(NFI_Expiration=1,IF(#REF!&lt;VLOOKUP(K$5,NFI,5,0),1,0)*Table_NFI[[#This Row],[Sanitary Kit]],Table_NFI[Sanitary Kit])</f>
        <v>#REF!</v>
      </c>
      <c r="AC20" s="228" t="e">
        <f>IF(NFI_Expiration=1,IF(#REF!&lt;VLOOKUP(L$5,NFI,5,0),1,0)*Table_NFI[[#This Row],[Mosquito net]],Table_NFI[Mosquito net])</f>
        <v>#REF!</v>
      </c>
      <c r="AD20" s="228" t="e">
        <f>IF(NFI_Expiration=1,IF(#REF!&lt;VLOOKUP(M$5,NFI,5,0),1,0)*Table_NFI[[#This Row],[Tarpaulin]],Table_NFI[[#This Row],[Tarpaulin]])</f>
        <v>#REF!</v>
      </c>
      <c r="AE20" s="228" t="e">
        <f>IF(NFI_Expiration=1,IF(#REF!&lt;VLOOKUP(N$5,NFI,5,0),1,0)*Table_NFI[[#This Row],[Blanket]],Table_NFI[[#This Row],[Blanket]])</f>
        <v>#REF!</v>
      </c>
      <c r="AF20" s="228" t="e">
        <f>IF(NFI_Expiration=1,IF(#REF!&lt;VLOOKUP(O$5,NFI,5,0),1,0)*Table_NFI[[#This Row],[Kitchen Set]],Table_NFI[Kitchen Set])</f>
        <v>#REF!</v>
      </c>
      <c r="AG20" s="228" t="e">
        <f>IF(NFI_Expiration=1,IF(#REF!&lt;VLOOKUP(P$5,NFI,5,0),1,0)*Table_NFI[[#This Row],[Clothes Kit]],Table_NFI[Clothes Kit])</f>
        <v>#REF!</v>
      </c>
      <c r="AH20" s="228" t="e">
        <f>IF(NFI_Expiration=1,IF(#REF!&lt;VLOOKUP(Q$5,NFI,5,0),1,0)*Table_NFI[[#This Row],[Plastic Bucket]],Table_NFI[Plastic Bucket])</f>
        <v>#REF!</v>
      </c>
      <c r="AI20" s="228" t="e">
        <f>IF(NFI_Expiration=1,IF(#REF!&lt;VLOOKUP(R$5,NFI,5,0),1,0)*Table_NFI[[#This Row],[Plastic Mat]],Table_NFI[Plastic Mat])*IF(Table_NFI[[#This Row],[Distribution Date]]&gt;"2014-04-01",1,2.5)</f>
        <v>#REF!</v>
      </c>
      <c r="AJ20" s="228" t="e">
        <f>IF(NFI_Expiration=1,IF(#REF!&lt;VLOOKUP(S$5,NFI,5,0),1,0)*Table_NFI[[#This Row],[Winter Clothes Adult]],Table_NFI[Winter Clothes Adult])</f>
        <v>#REF!</v>
      </c>
      <c r="AK20" s="228" t="e">
        <f>IF(NFI_Expiration=1,IF(#REF!&lt;VLOOKUP(T$5,NFI,5,0),1,0)*Table_NFI[[#This Row],[Winter Clothes Children]],Table_NFI[Winter Clothes Children])</f>
        <v>#REF!</v>
      </c>
      <c r="AL20" s="228" t="e">
        <f>IF(NFI_Expiration=1,IF(#REF!&lt;VLOOKUP(U$5,NFI,5,0),1,0)*Table_NFI[[#This Row],[Winter Items Other]],Table_NFI[Winter Items Other])</f>
        <v>#REF!</v>
      </c>
      <c r="AM20" s="228" t="e">
        <f>IF(NFI_Expiration=1,IF(#REF!&lt;VLOOKUP(N$5,NFI,5,0),1,0)*Table_NFI[[#This Row],[Winter Blanket]],Table_NFI[[#This Row],[Winter Blanket]])</f>
        <v>#REF!</v>
      </c>
      <c r="AN20" s="228">
        <f>IF(Table_NFI[[#This Row],[Winter Clothes Adult]]+Table_NFI[[#This Row],[Winter Clothes Children]]+Table_NFI[[#This Row],[Winter Items Other]]+Table_NFI[[#This Row],[Winter Blanket]]&gt;0,1,0)</f>
        <v>0</v>
      </c>
      <c r="AO20" s="229" t="e">
        <f>IF(NFI_Expiration=1,IF(#REF!&lt;VLOOKUP(W$5,NFI,5,0),1,0)*Table_NFI[[#This Row],[Jerry Can]],Table_NFI[Jerry Can])</f>
        <v>#REF!</v>
      </c>
      <c r="AP20" s="229" t="e">
        <f>IF(NFI_Expiration=1,IF(#REF!&lt;VLOOKUP(W$5,NFI,5,0),1,0)*Table_NFI[[#This Row],[Shelter Tool kit]],Table_NFI[Shelter Tool kit])</f>
        <v>#REF!</v>
      </c>
      <c r="AQ20" s="229" t="e">
        <f>IF(NFI_Expiration=1,IF(#REF!&lt;VLOOKUP(W$5,NFI,5,0),1,0)*Table_NFI[[#This Row],[Tent]],Table_NFI[Tent])</f>
        <v>#REF!</v>
      </c>
      <c r="AR20" s="230" t="str">
        <f>IFERROR(VLOOKUP(Table_NFI[[#This Row],[Location]],CL,2,0),"")</f>
        <v>MMR001CMP218</v>
      </c>
      <c r="AS20" s="668"/>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390"/>
      <c r="DK20" s="390"/>
      <c r="DL20" s="390"/>
      <c r="DM20" s="390"/>
    </row>
    <row r="21" spans="2:117" s="213" customFormat="1" ht="18" customHeight="1" x14ac:dyDescent="0.25">
      <c r="B21" s="815">
        <v>42962</v>
      </c>
      <c r="C21" s="816" t="s">
        <v>1296</v>
      </c>
      <c r="D21" s="816"/>
      <c r="E21" s="816" t="s">
        <v>378</v>
      </c>
      <c r="F21" s="816" t="s">
        <v>151</v>
      </c>
      <c r="G21" s="816" t="s">
        <v>1733</v>
      </c>
      <c r="H21" s="626"/>
      <c r="I21" s="409"/>
      <c r="J21" s="409"/>
      <c r="K21" s="409"/>
      <c r="L21" s="409"/>
      <c r="M21" s="409"/>
      <c r="N21" s="409"/>
      <c r="O21" s="409"/>
      <c r="P21" s="409"/>
      <c r="Q21" s="409"/>
      <c r="R21" s="409"/>
      <c r="S21" s="409"/>
      <c r="T21" s="409"/>
      <c r="U21" s="409"/>
      <c r="V21" s="409"/>
      <c r="W21" s="410"/>
      <c r="X21" s="410">
        <v>64</v>
      </c>
      <c r="Y21" s="410"/>
      <c r="Z21" s="410"/>
      <c r="AA21" s="228" t="e">
        <f>IF(NFI_Expiration=1,IF(#REF!&lt;VLOOKUP(J$5,NFI,5,0),1,0)*Table_NFI[[#This Row],[NFI Core Kit]],Table_NFI[NFI Core Kit])</f>
        <v>#REF!</v>
      </c>
      <c r="AB21" s="228" t="e">
        <f>IF(NFI_Expiration=1,IF(#REF!&lt;VLOOKUP(K$5,NFI,5,0),1,0)*Table_NFI[[#This Row],[Sanitary Kit]],Table_NFI[Sanitary Kit])</f>
        <v>#REF!</v>
      </c>
      <c r="AC21" s="228" t="e">
        <f>IF(NFI_Expiration=1,IF(#REF!&lt;VLOOKUP(L$5,NFI,5,0),1,0)*Table_NFI[[#This Row],[Mosquito net]],Table_NFI[Mosquito net])</f>
        <v>#REF!</v>
      </c>
      <c r="AD21" s="228" t="e">
        <f>IF(NFI_Expiration=1,IF(#REF!&lt;VLOOKUP(M$5,NFI,5,0),1,0)*Table_NFI[[#This Row],[Tarpaulin]],Table_NFI[[#This Row],[Tarpaulin]])</f>
        <v>#REF!</v>
      </c>
      <c r="AE21" s="228" t="e">
        <f>IF(NFI_Expiration=1,IF(#REF!&lt;VLOOKUP(N$5,NFI,5,0),1,0)*Table_NFI[[#This Row],[Blanket]],Table_NFI[[#This Row],[Blanket]])</f>
        <v>#REF!</v>
      </c>
      <c r="AF21" s="228" t="e">
        <f>IF(NFI_Expiration=1,IF(#REF!&lt;VLOOKUP(O$5,NFI,5,0),1,0)*Table_NFI[[#This Row],[Kitchen Set]],Table_NFI[Kitchen Set])</f>
        <v>#REF!</v>
      </c>
      <c r="AG21" s="228" t="e">
        <f>IF(NFI_Expiration=1,IF(#REF!&lt;VLOOKUP(P$5,NFI,5,0),1,0)*Table_NFI[[#This Row],[Clothes Kit]],Table_NFI[Clothes Kit])</f>
        <v>#REF!</v>
      </c>
      <c r="AH21" s="228" t="e">
        <f>IF(NFI_Expiration=1,IF(#REF!&lt;VLOOKUP(Q$5,NFI,5,0),1,0)*Table_NFI[[#This Row],[Plastic Bucket]],Table_NFI[Plastic Bucket])</f>
        <v>#REF!</v>
      </c>
      <c r="AI21" s="228" t="e">
        <f>IF(NFI_Expiration=1,IF(#REF!&lt;VLOOKUP(R$5,NFI,5,0),1,0)*Table_NFI[[#This Row],[Plastic Mat]],Table_NFI[Plastic Mat])*IF(Table_NFI[[#This Row],[Distribution Date]]&gt;"2014-04-01",1,2.5)</f>
        <v>#REF!</v>
      </c>
      <c r="AJ21" s="228" t="e">
        <f>IF(NFI_Expiration=1,IF(#REF!&lt;VLOOKUP(S$5,NFI,5,0),1,0)*Table_NFI[[#This Row],[Winter Clothes Adult]],Table_NFI[Winter Clothes Adult])</f>
        <v>#REF!</v>
      </c>
      <c r="AK21" s="228" t="e">
        <f>IF(NFI_Expiration=1,IF(#REF!&lt;VLOOKUP(T$5,NFI,5,0),1,0)*Table_NFI[[#This Row],[Winter Clothes Children]],Table_NFI[Winter Clothes Children])</f>
        <v>#REF!</v>
      </c>
      <c r="AL21" s="228" t="e">
        <f>IF(NFI_Expiration=1,IF(#REF!&lt;VLOOKUP(U$5,NFI,5,0),1,0)*Table_NFI[[#This Row],[Winter Items Other]],Table_NFI[Winter Items Other])</f>
        <v>#REF!</v>
      </c>
      <c r="AM21" s="228" t="e">
        <f>IF(NFI_Expiration=1,IF(#REF!&lt;VLOOKUP(N$5,NFI,5,0),1,0)*Table_NFI[[#This Row],[Winter Blanket]],Table_NFI[[#This Row],[Winter Blanket]])</f>
        <v>#REF!</v>
      </c>
      <c r="AN21" s="228">
        <f>IF(Table_NFI[[#This Row],[Winter Clothes Adult]]+Table_NFI[[#This Row],[Winter Clothes Children]]+Table_NFI[[#This Row],[Winter Items Other]]+Table_NFI[[#This Row],[Winter Blanket]]&gt;0,1,0)</f>
        <v>0</v>
      </c>
      <c r="AO21" s="229" t="e">
        <f>IF(NFI_Expiration=1,IF(#REF!&lt;VLOOKUP(W$5,NFI,5,0),1,0)*Table_NFI[[#This Row],[Jerry Can]],Table_NFI[Jerry Can])</f>
        <v>#REF!</v>
      </c>
      <c r="AP21" s="229" t="e">
        <f>IF(NFI_Expiration=1,IF(#REF!&lt;VLOOKUP(W$5,NFI,5,0),1,0)*Table_NFI[[#This Row],[Shelter Tool kit]],Table_NFI[Shelter Tool kit])</f>
        <v>#REF!</v>
      </c>
      <c r="AQ21" s="229" t="e">
        <f>IF(NFI_Expiration=1,IF(#REF!&lt;VLOOKUP(W$5,NFI,5,0),1,0)*Table_NFI[[#This Row],[Tent]],Table_NFI[Tent])</f>
        <v>#REF!</v>
      </c>
      <c r="AR21" s="230" t="str">
        <f>IFERROR(VLOOKUP(Table_NFI[[#This Row],[Location]],CL,2,0),"")</f>
        <v/>
      </c>
      <c r="AS21" s="668"/>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row>
    <row r="22" spans="2:117" s="213" customFormat="1" ht="19.149999999999999" customHeight="1" x14ac:dyDescent="0.25">
      <c r="B22" s="814">
        <v>42976</v>
      </c>
      <c r="C22" s="808" t="s">
        <v>1562</v>
      </c>
      <c r="D22" s="808"/>
      <c r="E22" s="808" t="s">
        <v>378</v>
      </c>
      <c r="F22" s="808" t="s">
        <v>237</v>
      </c>
      <c r="G22" s="808" t="s">
        <v>1732</v>
      </c>
      <c r="H22" s="809"/>
      <c r="I22" s="810">
        <v>29</v>
      </c>
      <c r="J22" s="409"/>
      <c r="K22" s="409"/>
      <c r="L22" s="409"/>
      <c r="M22" s="409"/>
      <c r="N22" s="409"/>
      <c r="O22" s="409"/>
      <c r="P22" s="409"/>
      <c r="Q22" s="409"/>
      <c r="R22" s="409"/>
      <c r="S22" s="409"/>
      <c r="T22" s="409"/>
      <c r="U22" s="409"/>
      <c r="V22" s="409"/>
      <c r="W22" s="410"/>
      <c r="X22" s="410"/>
      <c r="Y22" s="410"/>
      <c r="Z22" s="410"/>
      <c r="AA22" s="228" t="e">
        <f>IF(NFI_Expiration=1,IF(#REF!&lt;VLOOKUP(J$5,NFI,5,0),1,0)*Table_NFI[[#This Row],[NFI Core Kit]],Table_NFI[NFI Core Kit])</f>
        <v>#REF!</v>
      </c>
      <c r="AB22" s="228" t="e">
        <f>IF(NFI_Expiration=1,IF(#REF!&lt;VLOOKUP(K$5,NFI,5,0),1,0)*Table_NFI[[#This Row],[Sanitary Kit]],Table_NFI[Sanitary Kit])</f>
        <v>#REF!</v>
      </c>
      <c r="AC22" s="228" t="e">
        <f>IF(NFI_Expiration=1,IF(#REF!&lt;VLOOKUP(L$5,NFI,5,0),1,0)*Table_NFI[[#This Row],[Mosquito net]],Table_NFI[Mosquito net])</f>
        <v>#REF!</v>
      </c>
      <c r="AD22" s="228" t="e">
        <f>IF(NFI_Expiration=1,IF(#REF!&lt;VLOOKUP(M$5,NFI,5,0),1,0)*Table_NFI[[#This Row],[Tarpaulin]],Table_NFI[[#This Row],[Tarpaulin]])</f>
        <v>#REF!</v>
      </c>
      <c r="AE22" s="228" t="e">
        <f>IF(NFI_Expiration=1,IF(#REF!&lt;VLOOKUP(N$5,NFI,5,0),1,0)*Table_NFI[[#This Row],[Blanket]],Table_NFI[[#This Row],[Blanket]])</f>
        <v>#REF!</v>
      </c>
      <c r="AF22" s="228" t="e">
        <f>IF(NFI_Expiration=1,IF(#REF!&lt;VLOOKUP(O$5,NFI,5,0),1,0)*Table_NFI[[#This Row],[Kitchen Set]],Table_NFI[Kitchen Set])</f>
        <v>#REF!</v>
      </c>
      <c r="AG22" s="228" t="e">
        <f>IF(NFI_Expiration=1,IF(#REF!&lt;VLOOKUP(P$5,NFI,5,0),1,0)*Table_NFI[[#This Row],[Clothes Kit]],Table_NFI[Clothes Kit])</f>
        <v>#REF!</v>
      </c>
      <c r="AH22" s="228" t="e">
        <f>IF(NFI_Expiration=1,IF(#REF!&lt;VLOOKUP(Q$5,NFI,5,0),1,0)*Table_NFI[[#This Row],[Plastic Bucket]],Table_NFI[Plastic Bucket])</f>
        <v>#REF!</v>
      </c>
      <c r="AI22" s="228" t="e">
        <f>IF(NFI_Expiration=1,IF(#REF!&lt;VLOOKUP(R$5,NFI,5,0),1,0)*Table_NFI[[#This Row],[Plastic Mat]],Table_NFI[Plastic Mat])*IF(Table_NFI[[#This Row],[Distribution Date]]&gt;"2014-04-01",1,2.5)</f>
        <v>#REF!</v>
      </c>
      <c r="AJ22" s="228" t="e">
        <f>IF(NFI_Expiration=1,IF(#REF!&lt;VLOOKUP(S$5,NFI,5,0),1,0)*Table_NFI[[#This Row],[Winter Clothes Adult]],Table_NFI[Winter Clothes Adult])</f>
        <v>#REF!</v>
      </c>
      <c r="AK22" s="228" t="e">
        <f>IF(NFI_Expiration=1,IF(#REF!&lt;VLOOKUP(T$5,NFI,5,0),1,0)*Table_NFI[[#This Row],[Winter Clothes Children]],Table_NFI[Winter Clothes Children])</f>
        <v>#REF!</v>
      </c>
      <c r="AL22" s="228" t="e">
        <f>IF(NFI_Expiration=1,IF(#REF!&lt;VLOOKUP(U$5,NFI,5,0),1,0)*Table_NFI[[#This Row],[Winter Items Other]],Table_NFI[Winter Items Other])</f>
        <v>#REF!</v>
      </c>
      <c r="AM22" s="228" t="e">
        <f>IF(NFI_Expiration=1,IF(#REF!&lt;VLOOKUP(N$5,NFI,5,0),1,0)*Table_NFI[[#This Row],[Winter Blanket]],Table_NFI[[#This Row],[Winter Blanket]])</f>
        <v>#REF!</v>
      </c>
      <c r="AN22" s="228">
        <f>IF(Table_NFI[[#This Row],[Winter Clothes Adult]]+Table_NFI[[#This Row],[Winter Clothes Children]]+Table_NFI[[#This Row],[Winter Items Other]]+Table_NFI[[#This Row],[Winter Blanket]]&gt;0,1,0)</f>
        <v>0</v>
      </c>
      <c r="AO22" s="229" t="e">
        <f>IF(NFI_Expiration=1,IF(#REF!&lt;VLOOKUP(W$5,NFI,5,0),1,0)*Table_NFI[[#This Row],[Jerry Can]],Table_NFI[Jerry Can])</f>
        <v>#REF!</v>
      </c>
      <c r="AP22" s="229" t="e">
        <f>IF(NFI_Expiration=1,IF(#REF!&lt;VLOOKUP(W$5,NFI,5,0),1,0)*Table_NFI[[#This Row],[Shelter Tool kit]],Table_NFI[Shelter Tool kit])</f>
        <v>#REF!</v>
      </c>
      <c r="AQ22" s="229" t="e">
        <f>IF(NFI_Expiration=1,IF(#REF!&lt;VLOOKUP(W$5,NFI,5,0),1,0)*Table_NFI[[#This Row],[Tent]],Table_NFI[Tent])</f>
        <v>#REF!</v>
      </c>
      <c r="AR22" s="230" t="str">
        <f>IFERROR(VLOOKUP(Table_NFI[[#This Row],[Location]],CL,2,0),"")</f>
        <v/>
      </c>
      <c r="AS22" s="668"/>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390"/>
      <c r="DK22" s="390"/>
      <c r="DL22" s="390"/>
      <c r="DM22" s="390"/>
    </row>
    <row r="23" spans="2:117" s="213" customFormat="1" ht="18" customHeight="1" x14ac:dyDescent="0.25">
      <c r="B23" s="815">
        <v>42966</v>
      </c>
      <c r="C23" s="816" t="s">
        <v>1562</v>
      </c>
      <c r="D23" s="816"/>
      <c r="E23" s="816" t="s">
        <v>378</v>
      </c>
      <c r="F23" s="816" t="s">
        <v>5</v>
      </c>
      <c r="G23" s="816" t="s">
        <v>12</v>
      </c>
      <c r="H23" s="218"/>
      <c r="I23" s="126">
        <v>131</v>
      </c>
      <c r="J23" s="126">
        <v>141</v>
      </c>
      <c r="K23" s="409"/>
      <c r="L23" s="409"/>
      <c r="M23" s="409"/>
      <c r="N23" s="409"/>
      <c r="O23" s="409"/>
      <c r="P23" s="409"/>
      <c r="Q23" s="409"/>
      <c r="R23" s="409"/>
      <c r="S23" s="409"/>
      <c r="T23" s="409"/>
      <c r="U23" s="409"/>
      <c r="V23" s="409"/>
      <c r="W23" s="410"/>
      <c r="X23" s="410"/>
      <c r="Y23" s="410"/>
      <c r="Z23" s="410"/>
      <c r="AA23" s="228" t="e">
        <f>IF(NFI_Expiration=1,IF(#REF!&lt;VLOOKUP(J$5,NFI,5,0),1,0)*Table_NFI[[#This Row],[NFI Core Kit]],Table_NFI[NFI Core Kit])</f>
        <v>#REF!</v>
      </c>
      <c r="AB23" s="228" t="e">
        <f>IF(NFI_Expiration=1,IF(#REF!&lt;VLOOKUP(K$5,NFI,5,0),1,0)*Table_NFI[[#This Row],[Sanitary Kit]],Table_NFI[Sanitary Kit])</f>
        <v>#REF!</v>
      </c>
      <c r="AC23" s="228" t="e">
        <f>IF(NFI_Expiration=1,IF(#REF!&lt;VLOOKUP(L$5,NFI,5,0),1,0)*Table_NFI[[#This Row],[Mosquito net]],Table_NFI[Mosquito net])</f>
        <v>#REF!</v>
      </c>
      <c r="AD23" s="228" t="e">
        <f>IF(NFI_Expiration=1,IF(#REF!&lt;VLOOKUP(M$5,NFI,5,0),1,0)*Table_NFI[[#This Row],[Tarpaulin]],Table_NFI[[#This Row],[Tarpaulin]])</f>
        <v>#REF!</v>
      </c>
      <c r="AE23" s="228" t="e">
        <f>IF(NFI_Expiration=1,IF(#REF!&lt;VLOOKUP(N$5,NFI,5,0),1,0)*Table_NFI[[#This Row],[Blanket]],Table_NFI[[#This Row],[Blanket]])</f>
        <v>#REF!</v>
      </c>
      <c r="AF23" s="228" t="e">
        <f>IF(NFI_Expiration=1,IF(#REF!&lt;VLOOKUP(O$5,NFI,5,0),1,0)*Table_NFI[[#This Row],[Kitchen Set]],Table_NFI[Kitchen Set])</f>
        <v>#REF!</v>
      </c>
      <c r="AG23" s="228" t="e">
        <f>IF(NFI_Expiration=1,IF(#REF!&lt;VLOOKUP(P$5,NFI,5,0),1,0)*Table_NFI[[#This Row],[Clothes Kit]],Table_NFI[Clothes Kit])</f>
        <v>#REF!</v>
      </c>
      <c r="AH23" s="228" t="e">
        <f>IF(NFI_Expiration=1,IF(#REF!&lt;VLOOKUP(Q$5,NFI,5,0),1,0)*Table_NFI[[#This Row],[Plastic Bucket]],Table_NFI[Plastic Bucket])</f>
        <v>#REF!</v>
      </c>
      <c r="AI23" s="228" t="e">
        <f>IF(NFI_Expiration=1,IF(#REF!&lt;VLOOKUP(R$5,NFI,5,0),1,0)*Table_NFI[[#This Row],[Plastic Mat]],Table_NFI[Plastic Mat])*IF(Table_NFI[[#This Row],[Distribution Date]]&gt;"2014-04-01",1,2.5)</f>
        <v>#REF!</v>
      </c>
      <c r="AJ23" s="228" t="e">
        <f>IF(NFI_Expiration=1,IF(#REF!&lt;VLOOKUP(S$5,NFI,5,0),1,0)*Table_NFI[[#This Row],[Winter Clothes Adult]],Table_NFI[Winter Clothes Adult])</f>
        <v>#REF!</v>
      </c>
      <c r="AK23" s="228" t="e">
        <f>IF(NFI_Expiration=1,IF(#REF!&lt;VLOOKUP(T$5,NFI,5,0),1,0)*Table_NFI[[#This Row],[Winter Clothes Children]],Table_NFI[Winter Clothes Children])</f>
        <v>#REF!</v>
      </c>
      <c r="AL23" s="228" t="e">
        <f>IF(NFI_Expiration=1,IF(#REF!&lt;VLOOKUP(U$5,NFI,5,0),1,0)*Table_NFI[[#This Row],[Winter Items Other]],Table_NFI[Winter Items Other])</f>
        <v>#REF!</v>
      </c>
      <c r="AM23" s="228" t="e">
        <f>IF(NFI_Expiration=1,IF(#REF!&lt;VLOOKUP(N$5,NFI,5,0),1,0)*Table_NFI[[#This Row],[Winter Blanket]],Table_NFI[[#This Row],[Winter Blanket]])</f>
        <v>#REF!</v>
      </c>
      <c r="AN23" s="228">
        <f>IF(Table_NFI[[#This Row],[Winter Clothes Adult]]+Table_NFI[[#This Row],[Winter Clothes Children]]+Table_NFI[[#This Row],[Winter Items Other]]+Table_NFI[[#This Row],[Winter Blanket]]&gt;0,1,0)</f>
        <v>0</v>
      </c>
      <c r="AO23" s="229" t="e">
        <f>IF(NFI_Expiration=1,IF(#REF!&lt;VLOOKUP(W$5,NFI,5,0),1,0)*Table_NFI[[#This Row],[Jerry Can]],Table_NFI[Jerry Can])</f>
        <v>#REF!</v>
      </c>
      <c r="AP23" s="229" t="e">
        <f>IF(NFI_Expiration=1,IF(#REF!&lt;VLOOKUP(W$5,NFI,5,0),1,0)*Table_NFI[[#This Row],[Shelter Tool kit]],Table_NFI[Shelter Tool kit])</f>
        <v>#REF!</v>
      </c>
      <c r="AQ23" s="229" t="e">
        <f>IF(NFI_Expiration=1,IF(#REF!&lt;VLOOKUP(W$5,NFI,5,0),1,0)*Table_NFI[[#This Row],[Tent]],Table_NFI[Tent])</f>
        <v>#REF!</v>
      </c>
      <c r="AR23" s="230" t="str">
        <f>IFERROR(VLOOKUP(Table_NFI[[#This Row],[Location]],CL,2,0),"")</f>
        <v>MMR001CMP163</v>
      </c>
      <c r="AS23" s="668"/>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c r="BU23" s="390"/>
      <c r="BV23" s="390"/>
      <c r="BW23" s="390"/>
      <c r="BX23" s="390"/>
      <c r="BY23" s="390"/>
      <c r="BZ23" s="390"/>
      <c r="CA23" s="390"/>
      <c r="CB23" s="390"/>
      <c r="CC23" s="390"/>
      <c r="CD23" s="390"/>
      <c r="CE23" s="390"/>
      <c r="CF23" s="390"/>
      <c r="CG23" s="390"/>
      <c r="CH23" s="390"/>
      <c r="CI23" s="390"/>
      <c r="CJ23" s="390"/>
      <c r="CK23" s="390"/>
      <c r="CL23" s="390"/>
      <c r="CM23" s="390"/>
      <c r="CN23" s="390"/>
      <c r="CO23" s="390"/>
      <c r="CP23" s="390"/>
      <c r="CQ23" s="390"/>
      <c r="CR23" s="390"/>
      <c r="CS23" s="390"/>
      <c r="CT23" s="390"/>
      <c r="CU23" s="390"/>
      <c r="CV23" s="390"/>
      <c r="CW23" s="390"/>
      <c r="CX23" s="390"/>
      <c r="CY23" s="390"/>
      <c r="CZ23" s="390"/>
      <c r="DA23" s="390"/>
      <c r="DB23" s="390"/>
      <c r="DC23" s="390"/>
      <c r="DD23" s="390"/>
      <c r="DE23" s="390"/>
      <c r="DF23" s="390"/>
      <c r="DG23" s="390"/>
      <c r="DH23" s="390"/>
      <c r="DI23" s="390"/>
      <c r="DJ23" s="390"/>
      <c r="DK23" s="390"/>
      <c r="DL23" s="390"/>
      <c r="DM23" s="390"/>
    </row>
    <row r="24" spans="2:117" s="213" customFormat="1" ht="16.899999999999999" customHeight="1" x14ac:dyDescent="0.25">
      <c r="B24" s="803">
        <v>42944</v>
      </c>
      <c r="C24" s="627" t="s">
        <v>420</v>
      </c>
      <c r="D24" s="627" t="s">
        <v>462</v>
      </c>
      <c r="E24" s="627" t="s">
        <v>378</v>
      </c>
      <c r="F24" s="627" t="s">
        <v>237</v>
      </c>
      <c r="G24" s="627" t="s">
        <v>1725</v>
      </c>
      <c r="H24" s="626"/>
      <c r="I24" s="409"/>
      <c r="J24" s="409">
        <v>17</v>
      </c>
      <c r="K24" s="409">
        <v>14</v>
      </c>
      <c r="L24" s="409">
        <v>25</v>
      </c>
      <c r="M24" s="409">
        <v>17</v>
      </c>
      <c r="N24" s="409">
        <v>38</v>
      </c>
      <c r="O24" s="409">
        <v>17</v>
      </c>
      <c r="P24" s="409"/>
      <c r="Q24" s="409">
        <v>17</v>
      </c>
      <c r="R24" s="409">
        <v>26</v>
      </c>
      <c r="S24" s="409"/>
      <c r="T24" s="409"/>
      <c r="U24" s="409"/>
      <c r="V24" s="409"/>
      <c r="W24" s="410">
        <v>17</v>
      </c>
      <c r="X24" s="410"/>
      <c r="Y24" s="410"/>
      <c r="Z24" s="410">
        <v>17</v>
      </c>
      <c r="AA24" s="228" t="e">
        <f>IF(NFI_Expiration=1,IF(#REF!&lt;VLOOKUP(J$5,NFI,5,0),1,0)*Table_NFI[[#This Row],[NFI Core Kit]],Table_NFI[NFI Core Kit])</f>
        <v>#REF!</v>
      </c>
      <c r="AB24" s="228" t="e">
        <f>IF(NFI_Expiration=1,IF(#REF!&lt;VLOOKUP(K$5,NFI,5,0),1,0)*Table_NFI[[#This Row],[Sanitary Kit]],Table_NFI[Sanitary Kit])</f>
        <v>#REF!</v>
      </c>
      <c r="AC24" s="228" t="e">
        <f>IF(NFI_Expiration=1,IF(#REF!&lt;VLOOKUP(L$5,NFI,5,0),1,0)*Table_NFI[[#This Row],[Mosquito net]],Table_NFI[Mosquito net])</f>
        <v>#REF!</v>
      </c>
      <c r="AD24" s="228" t="e">
        <f>IF(NFI_Expiration=1,IF(#REF!&lt;VLOOKUP(M$5,NFI,5,0),1,0)*Table_NFI[[#This Row],[Tarpaulin]],Table_NFI[[#This Row],[Tarpaulin]])</f>
        <v>#REF!</v>
      </c>
      <c r="AE24" s="228" t="e">
        <f>IF(NFI_Expiration=1,IF(#REF!&lt;VLOOKUP(N$5,NFI,5,0),1,0)*Table_NFI[[#This Row],[Blanket]],Table_NFI[[#This Row],[Blanket]])</f>
        <v>#REF!</v>
      </c>
      <c r="AF24" s="228" t="e">
        <f>IF(NFI_Expiration=1,IF(#REF!&lt;VLOOKUP(O$5,NFI,5,0),1,0)*Table_NFI[[#This Row],[Kitchen Set]],Table_NFI[Kitchen Set])</f>
        <v>#REF!</v>
      </c>
      <c r="AG24" s="228" t="e">
        <f>IF(NFI_Expiration=1,IF(#REF!&lt;VLOOKUP(P$5,NFI,5,0),1,0)*Table_NFI[[#This Row],[Clothes Kit]],Table_NFI[Clothes Kit])</f>
        <v>#REF!</v>
      </c>
      <c r="AH24" s="228" t="e">
        <f>IF(NFI_Expiration=1,IF(#REF!&lt;VLOOKUP(Q$5,NFI,5,0),1,0)*Table_NFI[[#This Row],[Plastic Bucket]],Table_NFI[Plastic Bucket])</f>
        <v>#REF!</v>
      </c>
      <c r="AI24" s="228" t="e">
        <f>IF(NFI_Expiration=1,IF(#REF!&lt;VLOOKUP(R$5,NFI,5,0),1,0)*Table_NFI[[#This Row],[Plastic Mat]],Table_NFI[Plastic Mat])*IF(Table_NFI[[#This Row],[Distribution Date]]&gt;"2014-04-01",1,2.5)</f>
        <v>#REF!</v>
      </c>
      <c r="AJ24" s="228" t="e">
        <f>IF(NFI_Expiration=1,IF(#REF!&lt;VLOOKUP(S$5,NFI,5,0),1,0)*Table_NFI[[#This Row],[Winter Clothes Adult]],Table_NFI[Winter Clothes Adult])</f>
        <v>#REF!</v>
      </c>
      <c r="AK24" s="228" t="e">
        <f>IF(NFI_Expiration=1,IF(#REF!&lt;VLOOKUP(T$5,NFI,5,0),1,0)*Table_NFI[[#This Row],[Winter Clothes Children]],Table_NFI[Winter Clothes Children])</f>
        <v>#REF!</v>
      </c>
      <c r="AL24" s="228" t="e">
        <f>IF(NFI_Expiration=1,IF(#REF!&lt;VLOOKUP(U$5,NFI,5,0),1,0)*Table_NFI[[#This Row],[Winter Items Other]],Table_NFI[Winter Items Other])</f>
        <v>#REF!</v>
      </c>
      <c r="AM24" s="228" t="e">
        <f>IF(NFI_Expiration=1,IF(#REF!&lt;VLOOKUP(N$5,NFI,5,0),1,0)*Table_NFI[[#This Row],[Winter Blanket]],Table_NFI[[#This Row],[Winter Blanket]])</f>
        <v>#REF!</v>
      </c>
      <c r="AN24" s="228">
        <f>IF(Table_NFI[[#This Row],[Winter Clothes Adult]]+Table_NFI[[#This Row],[Winter Clothes Children]]+Table_NFI[[#This Row],[Winter Items Other]]+Table_NFI[[#This Row],[Winter Blanket]]&gt;0,1,0)</f>
        <v>0</v>
      </c>
      <c r="AO24" s="229" t="e">
        <f>IF(NFI_Expiration=1,IF(#REF!&lt;VLOOKUP(W$5,NFI,5,0),1,0)*Table_NFI[[#This Row],[Jerry Can]],Table_NFI[Jerry Can])</f>
        <v>#REF!</v>
      </c>
      <c r="AP24" s="229" t="e">
        <f>IF(NFI_Expiration=1,IF(#REF!&lt;VLOOKUP(W$5,NFI,5,0),1,0)*Table_NFI[[#This Row],[Shelter Tool kit]],Table_NFI[Shelter Tool kit])</f>
        <v>#REF!</v>
      </c>
      <c r="AQ24" s="229" t="e">
        <f>IF(NFI_Expiration=1,IF(#REF!&lt;VLOOKUP(W$5,NFI,5,0),1,0)*Table_NFI[[#This Row],[Tent]],Table_NFI[Tent])</f>
        <v>#REF!</v>
      </c>
      <c r="AR24" s="230" t="str">
        <f>IFERROR(VLOOKUP(Table_NFI[[#This Row],[Location]],CL,2,0),"")</f>
        <v/>
      </c>
      <c r="AS24" s="668"/>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row>
    <row r="25" spans="2:117" s="213" customFormat="1" ht="18" customHeight="1" x14ac:dyDescent="0.25">
      <c r="B25" s="749">
        <v>42914</v>
      </c>
      <c r="C25" s="627" t="s">
        <v>1599</v>
      </c>
      <c r="D25" s="627"/>
      <c r="E25" s="627" t="s">
        <v>378</v>
      </c>
      <c r="F25" s="627" t="s">
        <v>5</v>
      </c>
      <c r="G25" s="627" t="s">
        <v>24</v>
      </c>
      <c r="H25" s="626"/>
      <c r="I25" s="409"/>
      <c r="J25" s="409"/>
      <c r="K25" s="409"/>
      <c r="L25" s="409">
        <v>20</v>
      </c>
      <c r="M25" s="409"/>
      <c r="N25" s="409">
        <v>40</v>
      </c>
      <c r="O25" s="409">
        <v>20</v>
      </c>
      <c r="P25" s="409"/>
      <c r="Q25" s="409"/>
      <c r="R25" s="409">
        <v>20</v>
      </c>
      <c r="S25" s="409"/>
      <c r="T25" s="409"/>
      <c r="U25" s="409"/>
      <c r="V25" s="409"/>
      <c r="W25" s="410"/>
      <c r="X25" s="410"/>
      <c r="Y25" s="410"/>
      <c r="Z25" s="410"/>
      <c r="AA25" s="228" t="e">
        <f>IF(NFI_Expiration=1,IF(#REF!&lt;VLOOKUP(J$5,NFI,5,0),1,0)*Table_NFI[[#This Row],[NFI Core Kit]],Table_NFI[NFI Core Kit])</f>
        <v>#REF!</v>
      </c>
      <c r="AB25" s="228" t="e">
        <f>IF(NFI_Expiration=1,IF(#REF!&lt;VLOOKUP(K$5,NFI,5,0),1,0)*Table_NFI[[#This Row],[Sanitary Kit]],Table_NFI[Sanitary Kit])</f>
        <v>#REF!</v>
      </c>
      <c r="AC25" s="228" t="e">
        <f>IF(NFI_Expiration=1,IF(#REF!&lt;VLOOKUP(L$5,NFI,5,0),1,0)*Table_NFI[[#This Row],[Mosquito net]],Table_NFI[Mosquito net])</f>
        <v>#REF!</v>
      </c>
      <c r="AD25" s="228" t="e">
        <f>IF(NFI_Expiration=1,IF(#REF!&lt;VLOOKUP(M$5,NFI,5,0),1,0)*Table_NFI[[#This Row],[Tarpaulin]],Table_NFI[[#This Row],[Tarpaulin]])</f>
        <v>#REF!</v>
      </c>
      <c r="AE25" s="228" t="e">
        <f>IF(NFI_Expiration=1,IF(#REF!&lt;VLOOKUP(N$5,NFI,5,0),1,0)*Table_NFI[[#This Row],[Blanket]],Table_NFI[[#This Row],[Blanket]])</f>
        <v>#REF!</v>
      </c>
      <c r="AF25" s="228" t="e">
        <f>IF(NFI_Expiration=1,IF(#REF!&lt;VLOOKUP(O$5,NFI,5,0),1,0)*Table_NFI[[#This Row],[Kitchen Set]],Table_NFI[Kitchen Set])</f>
        <v>#REF!</v>
      </c>
      <c r="AG25" s="228" t="e">
        <f>IF(NFI_Expiration=1,IF(#REF!&lt;VLOOKUP(P$5,NFI,5,0),1,0)*Table_NFI[[#This Row],[Clothes Kit]],Table_NFI[Clothes Kit])</f>
        <v>#REF!</v>
      </c>
      <c r="AH25" s="228" t="e">
        <f>IF(NFI_Expiration=1,IF(#REF!&lt;VLOOKUP(Q$5,NFI,5,0),1,0)*Table_NFI[[#This Row],[Plastic Bucket]],Table_NFI[Plastic Bucket])</f>
        <v>#REF!</v>
      </c>
      <c r="AI25" s="228" t="e">
        <f>IF(NFI_Expiration=1,IF(#REF!&lt;VLOOKUP(R$5,NFI,5,0),1,0)*Table_NFI[[#This Row],[Plastic Mat]],Table_NFI[Plastic Mat])*IF(Table_NFI[[#This Row],[Distribution Date]]&gt;"2014-04-01",1,2.5)</f>
        <v>#REF!</v>
      </c>
      <c r="AJ25" s="228" t="e">
        <f>IF(NFI_Expiration=1,IF(#REF!&lt;VLOOKUP(S$5,NFI,5,0),1,0)*Table_NFI[[#This Row],[Winter Clothes Adult]],Table_NFI[Winter Clothes Adult])</f>
        <v>#REF!</v>
      </c>
      <c r="AK25" s="228" t="e">
        <f>IF(NFI_Expiration=1,IF(#REF!&lt;VLOOKUP(T$5,NFI,5,0),1,0)*Table_NFI[[#This Row],[Winter Clothes Children]],Table_NFI[Winter Clothes Children])</f>
        <v>#REF!</v>
      </c>
      <c r="AL25" s="228" t="e">
        <f>IF(NFI_Expiration=1,IF(#REF!&lt;VLOOKUP(U$5,NFI,5,0),1,0)*Table_NFI[[#This Row],[Winter Items Other]],Table_NFI[Winter Items Other])</f>
        <v>#REF!</v>
      </c>
      <c r="AM25" s="228" t="e">
        <f>IF(NFI_Expiration=1,IF(#REF!&lt;VLOOKUP(N$5,NFI,5,0),1,0)*Table_NFI[[#This Row],[Winter Blanket]],Table_NFI[[#This Row],[Winter Blanket]])</f>
        <v>#REF!</v>
      </c>
      <c r="AN25" s="228">
        <f>IF(Table_NFI[[#This Row],[Winter Clothes Adult]]+Table_NFI[[#This Row],[Winter Clothes Children]]+Table_NFI[[#This Row],[Winter Items Other]]+Table_NFI[[#This Row],[Winter Blanket]]&gt;0,1,0)</f>
        <v>0</v>
      </c>
      <c r="AO25" s="229" t="e">
        <f>IF(NFI_Expiration=1,IF(#REF!&lt;VLOOKUP(W$5,NFI,5,0),1,0)*Table_NFI[[#This Row],[Jerry Can]],Table_NFI[Jerry Can])</f>
        <v>#REF!</v>
      </c>
      <c r="AP25" s="229" t="e">
        <f>IF(NFI_Expiration=1,IF(#REF!&lt;VLOOKUP(W$5,NFI,5,0),1,0)*Table_NFI[[#This Row],[Shelter Tool kit]],Table_NFI[Shelter Tool kit])</f>
        <v>#REF!</v>
      </c>
      <c r="AQ25" s="229" t="e">
        <f>IF(NFI_Expiration=1,IF(#REF!&lt;VLOOKUP(W$5,NFI,5,0),1,0)*Table_NFI[[#This Row],[Tent]],Table_NFI[Tent])</f>
        <v>#REF!</v>
      </c>
      <c r="AR25" s="230" t="str">
        <f>IFERROR(VLOOKUP(Table_NFI[[#This Row],[Location]],CL,2,0),"")</f>
        <v>MMR001CMP055</v>
      </c>
      <c r="AS25" s="668"/>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c r="BU25" s="390"/>
      <c r="BV25" s="390"/>
      <c r="BW25" s="390"/>
      <c r="BX25" s="390"/>
      <c r="BY25" s="390"/>
      <c r="BZ25" s="390"/>
      <c r="CA25" s="390"/>
      <c r="CB25" s="390"/>
      <c r="CC25" s="390"/>
      <c r="CD25" s="390"/>
      <c r="CE25" s="390"/>
      <c r="CF25" s="390"/>
      <c r="CG25" s="390"/>
      <c r="CH25" s="390"/>
      <c r="CI25" s="390"/>
      <c r="CJ25" s="390"/>
      <c r="CK25" s="390"/>
      <c r="CL25" s="390"/>
      <c r="CM25" s="390"/>
      <c r="CN25" s="390"/>
      <c r="CO25" s="390"/>
      <c r="CP25" s="390"/>
      <c r="CQ25" s="390"/>
      <c r="CR25" s="390"/>
      <c r="CS25" s="390"/>
      <c r="CT25" s="390"/>
      <c r="CU25" s="390"/>
      <c r="CV25" s="390"/>
      <c r="CW25" s="390"/>
      <c r="CX25" s="390"/>
      <c r="CY25" s="390"/>
      <c r="CZ25" s="390"/>
      <c r="DA25" s="390"/>
      <c r="DB25" s="390"/>
      <c r="DC25" s="390"/>
      <c r="DD25" s="390"/>
      <c r="DE25" s="390"/>
      <c r="DF25" s="390"/>
      <c r="DG25" s="390"/>
      <c r="DH25" s="390"/>
      <c r="DI25" s="390"/>
      <c r="DJ25" s="390"/>
      <c r="DK25" s="390"/>
      <c r="DL25" s="390"/>
      <c r="DM25" s="390"/>
    </row>
    <row r="26" spans="2:117" s="213" customFormat="1" ht="15.6" customHeight="1" x14ac:dyDescent="0.25">
      <c r="B26" s="749">
        <v>42915</v>
      </c>
      <c r="C26" s="627" t="s">
        <v>1599</v>
      </c>
      <c r="D26" s="627"/>
      <c r="E26" s="627" t="s">
        <v>378</v>
      </c>
      <c r="F26" s="627" t="s">
        <v>5</v>
      </c>
      <c r="G26" s="627" t="s">
        <v>20</v>
      </c>
      <c r="H26" s="626"/>
      <c r="I26" s="409"/>
      <c r="J26" s="409"/>
      <c r="K26" s="409"/>
      <c r="L26" s="409"/>
      <c r="M26" s="409"/>
      <c r="N26" s="409"/>
      <c r="O26" s="409">
        <v>22</v>
      </c>
      <c r="P26" s="409"/>
      <c r="Q26" s="409"/>
      <c r="R26" s="409"/>
      <c r="S26" s="409"/>
      <c r="T26" s="409"/>
      <c r="U26" s="409"/>
      <c r="V26" s="409"/>
      <c r="W26" s="410"/>
      <c r="X26" s="410"/>
      <c r="Y26" s="410"/>
      <c r="Z26" s="410"/>
      <c r="AA26" s="228" t="e">
        <f>IF(NFI_Expiration=1,IF(#REF!&lt;VLOOKUP(J$5,NFI,5,0),1,0)*Table_NFI[[#This Row],[NFI Core Kit]],Table_NFI[NFI Core Kit])</f>
        <v>#REF!</v>
      </c>
      <c r="AB26" s="228" t="e">
        <f>IF(NFI_Expiration=1,IF(#REF!&lt;VLOOKUP(K$5,NFI,5,0),1,0)*Table_NFI[[#This Row],[Sanitary Kit]],Table_NFI[Sanitary Kit])</f>
        <v>#REF!</v>
      </c>
      <c r="AC26" s="228" t="e">
        <f>IF(NFI_Expiration=1,IF(#REF!&lt;VLOOKUP(L$5,NFI,5,0),1,0)*Table_NFI[[#This Row],[Mosquito net]],Table_NFI[Mosquito net])</f>
        <v>#REF!</v>
      </c>
      <c r="AD26" s="228" t="e">
        <f>IF(NFI_Expiration=1,IF(#REF!&lt;VLOOKUP(M$5,NFI,5,0),1,0)*Table_NFI[[#This Row],[Tarpaulin]],Table_NFI[[#This Row],[Tarpaulin]])</f>
        <v>#REF!</v>
      </c>
      <c r="AE26" s="228" t="e">
        <f>IF(NFI_Expiration=1,IF(#REF!&lt;VLOOKUP(N$5,NFI,5,0),1,0)*Table_NFI[[#This Row],[Blanket]],Table_NFI[[#This Row],[Blanket]])</f>
        <v>#REF!</v>
      </c>
      <c r="AF26" s="228" t="e">
        <f>IF(NFI_Expiration=1,IF(#REF!&lt;VLOOKUP(O$5,NFI,5,0),1,0)*Table_NFI[[#This Row],[Kitchen Set]],Table_NFI[Kitchen Set])</f>
        <v>#REF!</v>
      </c>
      <c r="AG26" s="228" t="e">
        <f>IF(NFI_Expiration=1,IF(#REF!&lt;VLOOKUP(P$5,NFI,5,0),1,0)*Table_NFI[[#This Row],[Clothes Kit]],Table_NFI[Clothes Kit])</f>
        <v>#REF!</v>
      </c>
      <c r="AH26" s="228" t="e">
        <f>IF(NFI_Expiration=1,IF(#REF!&lt;VLOOKUP(Q$5,NFI,5,0),1,0)*Table_NFI[[#This Row],[Plastic Bucket]],Table_NFI[Plastic Bucket])</f>
        <v>#REF!</v>
      </c>
      <c r="AI26" s="228" t="e">
        <f>IF(NFI_Expiration=1,IF(#REF!&lt;VLOOKUP(R$5,NFI,5,0),1,0)*Table_NFI[[#This Row],[Plastic Mat]],Table_NFI[Plastic Mat])*IF(Table_NFI[[#This Row],[Distribution Date]]&gt;"2014-04-01",1,2.5)</f>
        <v>#REF!</v>
      </c>
      <c r="AJ26" s="228" t="e">
        <f>IF(NFI_Expiration=1,IF(#REF!&lt;VLOOKUP(S$5,NFI,5,0),1,0)*Table_NFI[[#This Row],[Winter Clothes Adult]],Table_NFI[Winter Clothes Adult])</f>
        <v>#REF!</v>
      </c>
      <c r="AK26" s="228" t="e">
        <f>IF(NFI_Expiration=1,IF(#REF!&lt;VLOOKUP(T$5,NFI,5,0),1,0)*Table_NFI[[#This Row],[Winter Clothes Children]],Table_NFI[Winter Clothes Children])</f>
        <v>#REF!</v>
      </c>
      <c r="AL26" s="228" t="e">
        <f>IF(NFI_Expiration=1,IF(#REF!&lt;VLOOKUP(U$5,NFI,5,0),1,0)*Table_NFI[[#This Row],[Winter Items Other]],Table_NFI[Winter Items Other])</f>
        <v>#REF!</v>
      </c>
      <c r="AM26" s="228" t="e">
        <f>IF(NFI_Expiration=1,IF(#REF!&lt;VLOOKUP(N$5,NFI,5,0),1,0)*Table_NFI[[#This Row],[Winter Blanket]],Table_NFI[[#This Row],[Winter Blanket]])</f>
        <v>#REF!</v>
      </c>
      <c r="AN26" s="228">
        <f>IF(Table_NFI[[#This Row],[Winter Clothes Adult]]+Table_NFI[[#This Row],[Winter Clothes Children]]+Table_NFI[[#This Row],[Winter Items Other]]+Table_NFI[[#This Row],[Winter Blanket]]&gt;0,1,0)</f>
        <v>0</v>
      </c>
      <c r="AO26" s="229" t="e">
        <f>IF(NFI_Expiration=1,IF(#REF!&lt;VLOOKUP(W$5,NFI,5,0),1,0)*Table_NFI[[#This Row],[Jerry Can]],Table_NFI[Jerry Can])</f>
        <v>#REF!</v>
      </c>
      <c r="AP26" s="229" t="e">
        <f>IF(NFI_Expiration=1,IF(#REF!&lt;VLOOKUP(W$5,NFI,5,0),1,0)*Table_NFI[[#This Row],[Shelter Tool kit]],Table_NFI[Shelter Tool kit])</f>
        <v>#REF!</v>
      </c>
      <c r="AQ26" s="229" t="e">
        <f>IF(NFI_Expiration=1,IF(#REF!&lt;VLOOKUP(W$5,NFI,5,0),1,0)*Table_NFI[[#This Row],[Tent]],Table_NFI[Tent])</f>
        <v>#REF!</v>
      </c>
      <c r="AR26" s="230" t="str">
        <f>IFERROR(VLOOKUP(Table_NFI[[#This Row],[Location]],CL,2,0),"")</f>
        <v>MMR001CMP054</v>
      </c>
      <c r="AS26" s="668"/>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390"/>
      <c r="DL26" s="390"/>
      <c r="DM26" s="390"/>
    </row>
    <row r="27" spans="2:117" s="213" customFormat="1" ht="15.6" customHeight="1" x14ac:dyDescent="0.25">
      <c r="B27" s="749">
        <v>42915</v>
      </c>
      <c r="C27" s="627" t="s">
        <v>1599</v>
      </c>
      <c r="D27" s="627"/>
      <c r="E27" s="627" t="s">
        <v>378</v>
      </c>
      <c r="F27" s="627" t="s">
        <v>5</v>
      </c>
      <c r="G27" s="627" t="s">
        <v>26</v>
      </c>
      <c r="H27" s="626"/>
      <c r="I27" s="409"/>
      <c r="J27" s="409"/>
      <c r="K27" s="409"/>
      <c r="L27" s="409"/>
      <c r="M27" s="409"/>
      <c r="N27" s="409"/>
      <c r="O27" s="409">
        <v>14</v>
      </c>
      <c r="P27" s="409"/>
      <c r="Q27" s="409"/>
      <c r="R27" s="409"/>
      <c r="S27" s="409"/>
      <c r="T27" s="409"/>
      <c r="U27" s="409"/>
      <c r="V27" s="409"/>
      <c r="W27" s="410"/>
      <c r="X27" s="410"/>
      <c r="Y27" s="410"/>
      <c r="Z27" s="410"/>
      <c r="AA27" s="228" t="e">
        <f>IF(NFI_Expiration=1,IF(#REF!&lt;VLOOKUP(J$5,NFI,5,0),1,0)*Table_NFI[[#This Row],[NFI Core Kit]],Table_NFI[NFI Core Kit])</f>
        <v>#REF!</v>
      </c>
      <c r="AB27" s="228" t="e">
        <f>IF(NFI_Expiration=1,IF(#REF!&lt;VLOOKUP(K$5,NFI,5,0),1,0)*Table_NFI[[#This Row],[Sanitary Kit]],Table_NFI[Sanitary Kit])</f>
        <v>#REF!</v>
      </c>
      <c r="AC27" s="228" t="e">
        <f>IF(NFI_Expiration=1,IF(#REF!&lt;VLOOKUP(L$5,NFI,5,0),1,0)*Table_NFI[[#This Row],[Mosquito net]],Table_NFI[Mosquito net])</f>
        <v>#REF!</v>
      </c>
      <c r="AD27" s="228" t="e">
        <f>IF(NFI_Expiration=1,IF(#REF!&lt;VLOOKUP(M$5,NFI,5,0),1,0)*Table_NFI[[#This Row],[Tarpaulin]],Table_NFI[[#This Row],[Tarpaulin]])</f>
        <v>#REF!</v>
      </c>
      <c r="AE27" s="228" t="e">
        <f>IF(NFI_Expiration=1,IF(#REF!&lt;VLOOKUP(N$5,NFI,5,0),1,0)*Table_NFI[[#This Row],[Blanket]],Table_NFI[[#This Row],[Blanket]])</f>
        <v>#REF!</v>
      </c>
      <c r="AF27" s="228" t="e">
        <f>IF(NFI_Expiration=1,IF(#REF!&lt;VLOOKUP(O$5,NFI,5,0),1,0)*Table_NFI[[#This Row],[Kitchen Set]],Table_NFI[Kitchen Set])</f>
        <v>#REF!</v>
      </c>
      <c r="AG27" s="228" t="e">
        <f>IF(NFI_Expiration=1,IF(#REF!&lt;VLOOKUP(P$5,NFI,5,0),1,0)*Table_NFI[[#This Row],[Clothes Kit]],Table_NFI[Clothes Kit])</f>
        <v>#REF!</v>
      </c>
      <c r="AH27" s="228" t="e">
        <f>IF(NFI_Expiration=1,IF(#REF!&lt;VLOOKUP(Q$5,NFI,5,0),1,0)*Table_NFI[[#This Row],[Plastic Bucket]],Table_NFI[Plastic Bucket])</f>
        <v>#REF!</v>
      </c>
      <c r="AI27" s="228" t="e">
        <f>IF(NFI_Expiration=1,IF(#REF!&lt;VLOOKUP(R$5,NFI,5,0),1,0)*Table_NFI[[#This Row],[Plastic Mat]],Table_NFI[Plastic Mat])*IF(Table_NFI[[#This Row],[Distribution Date]]&gt;"2014-04-01",1,2.5)</f>
        <v>#REF!</v>
      </c>
      <c r="AJ27" s="228" t="e">
        <f>IF(NFI_Expiration=1,IF(#REF!&lt;VLOOKUP(S$5,NFI,5,0),1,0)*Table_NFI[[#This Row],[Winter Clothes Adult]],Table_NFI[Winter Clothes Adult])</f>
        <v>#REF!</v>
      </c>
      <c r="AK27" s="228" t="e">
        <f>IF(NFI_Expiration=1,IF(#REF!&lt;VLOOKUP(T$5,NFI,5,0),1,0)*Table_NFI[[#This Row],[Winter Clothes Children]],Table_NFI[Winter Clothes Children])</f>
        <v>#REF!</v>
      </c>
      <c r="AL27" s="228" t="e">
        <f>IF(NFI_Expiration=1,IF(#REF!&lt;VLOOKUP(U$5,NFI,5,0),1,0)*Table_NFI[[#This Row],[Winter Items Other]],Table_NFI[Winter Items Other])</f>
        <v>#REF!</v>
      </c>
      <c r="AM27" s="228" t="e">
        <f>IF(NFI_Expiration=1,IF(#REF!&lt;VLOOKUP(N$5,NFI,5,0),1,0)*Table_NFI[[#This Row],[Winter Blanket]],Table_NFI[[#This Row],[Winter Blanket]])</f>
        <v>#REF!</v>
      </c>
      <c r="AN27" s="228">
        <f>IF(Table_NFI[[#This Row],[Winter Clothes Adult]]+Table_NFI[[#This Row],[Winter Clothes Children]]+Table_NFI[[#This Row],[Winter Items Other]]+Table_NFI[[#This Row],[Winter Blanket]]&gt;0,1,0)</f>
        <v>0</v>
      </c>
      <c r="AO27" s="229" t="e">
        <f>IF(NFI_Expiration=1,IF(#REF!&lt;VLOOKUP(W$5,NFI,5,0),1,0)*Table_NFI[[#This Row],[Jerry Can]],Table_NFI[Jerry Can])</f>
        <v>#REF!</v>
      </c>
      <c r="AP27" s="229" t="e">
        <f>IF(NFI_Expiration=1,IF(#REF!&lt;VLOOKUP(W$5,NFI,5,0),1,0)*Table_NFI[[#This Row],[Shelter Tool kit]],Table_NFI[Shelter Tool kit])</f>
        <v>#REF!</v>
      </c>
      <c r="AQ27" s="229" t="e">
        <f>IF(NFI_Expiration=1,IF(#REF!&lt;VLOOKUP(W$5,NFI,5,0),1,0)*Table_NFI[[#This Row],[Tent]],Table_NFI[Tent])</f>
        <v>#REF!</v>
      </c>
      <c r="AR27" s="230" t="str">
        <f>IFERROR(VLOOKUP(Table_NFI[[#This Row],[Location]],CL,2,0),"")</f>
        <v>MMR001CMP053</v>
      </c>
      <c r="AS27" s="668"/>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390"/>
      <c r="CO27" s="390"/>
      <c r="CP27" s="390"/>
      <c r="CQ27" s="390"/>
      <c r="CR27" s="390"/>
      <c r="CS27" s="390"/>
      <c r="CT27" s="390"/>
      <c r="CU27" s="390"/>
      <c r="CV27" s="390"/>
      <c r="CW27" s="390"/>
      <c r="CX27" s="390"/>
      <c r="CY27" s="390"/>
      <c r="CZ27" s="390"/>
      <c r="DA27" s="390"/>
      <c r="DB27" s="390"/>
      <c r="DC27" s="390"/>
      <c r="DD27" s="390"/>
      <c r="DE27" s="390"/>
      <c r="DF27" s="390"/>
      <c r="DG27" s="390"/>
      <c r="DH27" s="390"/>
      <c r="DI27" s="390"/>
      <c r="DJ27" s="390"/>
      <c r="DK27" s="390"/>
      <c r="DL27" s="390"/>
      <c r="DM27" s="390"/>
    </row>
    <row r="28" spans="2:117" s="213" customFormat="1" ht="17.45" customHeight="1" x14ac:dyDescent="0.25">
      <c r="B28" s="749">
        <v>42900</v>
      </c>
      <c r="C28" s="627" t="s">
        <v>1599</v>
      </c>
      <c r="D28" s="627"/>
      <c r="E28" s="627" t="s">
        <v>378</v>
      </c>
      <c r="F28" s="627" t="s">
        <v>151</v>
      </c>
      <c r="G28" s="627" t="s">
        <v>915</v>
      </c>
      <c r="H28" s="626"/>
      <c r="I28" s="409"/>
      <c r="J28" s="409"/>
      <c r="K28" s="409"/>
      <c r="L28" s="409">
        <v>143</v>
      </c>
      <c r="M28" s="409"/>
      <c r="N28" s="409">
        <v>27</v>
      </c>
      <c r="O28" s="409">
        <v>83</v>
      </c>
      <c r="P28" s="409"/>
      <c r="Q28" s="409"/>
      <c r="R28" s="409">
        <v>143</v>
      </c>
      <c r="S28" s="409"/>
      <c r="T28" s="409"/>
      <c r="U28" s="409"/>
      <c r="V28" s="409"/>
      <c r="W28" s="410"/>
      <c r="X28" s="410">
        <v>167</v>
      </c>
      <c r="Y28" s="410"/>
      <c r="Z28" s="410"/>
      <c r="AA28" s="228" t="e">
        <f>IF(NFI_Expiration=1,IF(#REF!&lt;VLOOKUP(J$5,NFI,5,0),1,0)*Table_NFI[[#This Row],[NFI Core Kit]],Table_NFI[NFI Core Kit])</f>
        <v>#REF!</v>
      </c>
      <c r="AB28" s="228" t="e">
        <f>IF(NFI_Expiration=1,IF(#REF!&lt;VLOOKUP(K$5,NFI,5,0),1,0)*Table_NFI[[#This Row],[Sanitary Kit]],Table_NFI[Sanitary Kit])</f>
        <v>#REF!</v>
      </c>
      <c r="AC28" s="228" t="e">
        <f>IF(NFI_Expiration=1,IF(#REF!&lt;VLOOKUP(L$5,NFI,5,0),1,0)*Table_NFI[[#This Row],[Mosquito net]],Table_NFI[Mosquito net])</f>
        <v>#REF!</v>
      </c>
      <c r="AD28" s="228" t="e">
        <f>IF(NFI_Expiration=1,IF(#REF!&lt;VLOOKUP(M$5,NFI,5,0),1,0)*Table_NFI[[#This Row],[Tarpaulin]],Table_NFI[[#This Row],[Tarpaulin]])</f>
        <v>#REF!</v>
      </c>
      <c r="AE28" s="228" t="e">
        <f>IF(NFI_Expiration=1,IF(#REF!&lt;VLOOKUP(N$5,NFI,5,0),1,0)*Table_NFI[[#This Row],[Blanket]],Table_NFI[[#This Row],[Blanket]])</f>
        <v>#REF!</v>
      </c>
      <c r="AF28" s="228" t="e">
        <f>IF(NFI_Expiration=1,IF(#REF!&lt;VLOOKUP(O$5,NFI,5,0),1,0)*Table_NFI[[#This Row],[Kitchen Set]],Table_NFI[Kitchen Set])</f>
        <v>#REF!</v>
      </c>
      <c r="AG28" s="228" t="e">
        <f>IF(NFI_Expiration=1,IF(#REF!&lt;VLOOKUP(P$5,NFI,5,0),1,0)*Table_NFI[[#This Row],[Clothes Kit]],Table_NFI[Clothes Kit])</f>
        <v>#REF!</v>
      </c>
      <c r="AH28" s="228" t="e">
        <f>IF(NFI_Expiration=1,IF(#REF!&lt;VLOOKUP(Q$5,NFI,5,0),1,0)*Table_NFI[[#This Row],[Plastic Bucket]],Table_NFI[Plastic Bucket])</f>
        <v>#REF!</v>
      </c>
      <c r="AI28" s="228" t="e">
        <f>IF(NFI_Expiration=1,IF(#REF!&lt;VLOOKUP(R$5,NFI,5,0),1,0)*Table_NFI[[#This Row],[Plastic Mat]],Table_NFI[Plastic Mat])*IF(Table_NFI[[#This Row],[Distribution Date]]&gt;"2014-04-01",1,2.5)</f>
        <v>#REF!</v>
      </c>
      <c r="AJ28" s="228" t="e">
        <f>IF(NFI_Expiration=1,IF(#REF!&lt;VLOOKUP(S$5,NFI,5,0),1,0)*Table_NFI[[#This Row],[Winter Clothes Adult]],Table_NFI[Winter Clothes Adult])</f>
        <v>#REF!</v>
      </c>
      <c r="AK28" s="228" t="e">
        <f>IF(NFI_Expiration=1,IF(#REF!&lt;VLOOKUP(T$5,NFI,5,0),1,0)*Table_NFI[[#This Row],[Winter Clothes Children]],Table_NFI[Winter Clothes Children])</f>
        <v>#REF!</v>
      </c>
      <c r="AL28" s="228" t="e">
        <f>IF(NFI_Expiration=1,IF(#REF!&lt;VLOOKUP(U$5,NFI,5,0),1,0)*Table_NFI[[#This Row],[Winter Items Other]],Table_NFI[Winter Items Other])</f>
        <v>#REF!</v>
      </c>
      <c r="AM28" s="228" t="e">
        <f>IF(NFI_Expiration=1,IF(#REF!&lt;VLOOKUP(N$5,NFI,5,0),1,0)*Table_NFI[[#This Row],[Winter Blanket]],Table_NFI[[#This Row],[Winter Blanket]])</f>
        <v>#REF!</v>
      </c>
      <c r="AN28" s="228">
        <f>IF(Table_NFI[[#This Row],[Winter Clothes Adult]]+Table_NFI[[#This Row],[Winter Clothes Children]]+Table_NFI[[#This Row],[Winter Items Other]]+Table_NFI[[#This Row],[Winter Blanket]]&gt;0,1,0)</f>
        <v>0</v>
      </c>
      <c r="AO28" s="229" t="e">
        <f>IF(NFI_Expiration=1,IF(#REF!&lt;VLOOKUP(W$5,NFI,5,0),1,0)*Table_NFI[[#This Row],[Jerry Can]],Table_NFI[Jerry Can])</f>
        <v>#REF!</v>
      </c>
      <c r="AP28" s="229" t="e">
        <f>IF(NFI_Expiration=1,IF(#REF!&lt;VLOOKUP(W$5,NFI,5,0),1,0)*Table_NFI[[#This Row],[Shelter Tool kit]],Table_NFI[Shelter Tool kit])</f>
        <v>#REF!</v>
      </c>
      <c r="AQ28" s="229" t="e">
        <f>IF(NFI_Expiration=1,IF(#REF!&lt;VLOOKUP(W$5,NFI,5,0),1,0)*Table_NFI[[#This Row],[Tent]],Table_NFI[Tent])</f>
        <v>#REF!</v>
      </c>
      <c r="AR28" s="230" t="str">
        <f>IFERROR(VLOOKUP(Table_NFI[[#This Row],[Location]],CL,2,0),"")</f>
        <v>MMR001CMP228</v>
      </c>
      <c r="AS28" s="668"/>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c r="CQ28" s="390"/>
      <c r="CR28" s="390"/>
      <c r="CS28" s="390"/>
      <c r="CT28" s="390"/>
      <c r="CU28" s="390"/>
      <c r="CV28" s="390"/>
      <c r="CW28" s="390"/>
      <c r="CX28" s="390"/>
      <c r="CY28" s="390"/>
      <c r="CZ28" s="390"/>
      <c r="DA28" s="390"/>
      <c r="DB28" s="390"/>
      <c r="DC28" s="390"/>
      <c r="DD28" s="390"/>
      <c r="DE28" s="390"/>
      <c r="DF28" s="390"/>
      <c r="DG28" s="390"/>
      <c r="DH28" s="390"/>
      <c r="DI28" s="390"/>
      <c r="DJ28" s="390"/>
      <c r="DK28" s="390"/>
      <c r="DL28" s="390"/>
      <c r="DM28" s="390"/>
    </row>
    <row r="29" spans="2:117" s="213" customFormat="1" ht="13.15" customHeight="1" x14ac:dyDescent="0.25">
      <c r="B29" s="749">
        <v>42900</v>
      </c>
      <c r="C29" s="627" t="s">
        <v>1599</v>
      </c>
      <c r="D29" s="627"/>
      <c r="E29" s="627" t="s">
        <v>378</v>
      </c>
      <c r="F29" s="627" t="s">
        <v>151</v>
      </c>
      <c r="G29" s="627" t="s">
        <v>160</v>
      </c>
      <c r="H29" s="626"/>
      <c r="I29" s="409"/>
      <c r="J29" s="409"/>
      <c r="K29" s="409"/>
      <c r="L29" s="409">
        <v>40</v>
      </c>
      <c r="M29" s="409"/>
      <c r="N29" s="409"/>
      <c r="O29" s="409"/>
      <c r="P29" s="409"/>
      <c r="Q29" s="409"/>
      <c r="R29" s="409">
        <v>39</v>
      </c>
      <c r="S29" s="409"/>
      <c r="T29" s="409"/>
      <c r="U29" s="409"/>
      <c r="V29" s="409"/>
      <c r="W29" s="410"/>
      <c r="X29" s="410">
        <v>139</v>
      </c>
      <c r="Y29" s="410"/>
      <c r="Z29" s="410"/>
      <c r="AA29" s="228" t="e">
        <f>IF(NFI_Expiration=1,IF(#REF!&lt;VLOOKUP(J$5,NFI,5,0),1,0)*Table_NFI[[#This Row],[NFI Core Kit]],Table_NFI[NFI Core Kit])</f>
        <v>#REF!</v>
      </c>
      <c r="AB29" s="228" t="e">
        <f>IF(NFI_Expiration=1,IF(#REF!&lt;VLOOKUP(K$5,NFI,5,0),1,0)*Table_NFI[[#This Row],[Sanitary Kit]],Table_NFI[Sanitary Kit])</f>
        <v>#REF!</v>
      </c>
      <c r="AC29" s="228" t="e">
        <f>IF(NFI_Expiration=1,IF(#REF!&lt;VLOOKUP(L$5,NFI,5,0),1,0)*Table_NFI[[#This Row],[Mosquito net]],Table_NFI[Mosquito net])</f>
        <v>#REF!</v>
      </c>
      <c r="AD29" s="228" t="e">
        <f>IF(NFI_Expiration=1,IF(#REF!&lt;VLOOKUP(M$5,NFI,5,0),1,0)*Table_NFI[[#This Row],[Tarpaulin]],Table_NFI[[#This Row],[Tarpaulin]])</f>
        <v>#REF!</v>
      </c>
      <c r="AE29" s="228" t="e">
        <f>IF(NFI_Expiration=1,IF(#REF!&lt;VLOOKUP(N$5,NFI,5,0),1,0)*Table_NFI[[#This Row],[Blanket]],Table_NFI[[#This Row],[Blanket]])</f>
        <v>#REF!</v>
      </c>
      <c r="AF29" s="228" t="e">
        <f>IF(NFI_Expiration=1,IF(#REF!&lt;VLOOKUP(O$5,NFI,5,0),1,0)*Table_NFI[[#This Row],[Kitchen Set]],Table_NFI[Kitchen Set])</f>
        <v>#REF!</v>
      </c>
      <c r="AG29" s="228" t="e">
        <f>IF(NFI_Expiration=1,IF(#REF!&lt;VLOOKUP(P$5,NFI,5,0),1,0)*Table_NFI[[#This Row],[Clothes Kit]],Table_NFI[Clothes Kit])</f>
        <v>#REF!</v>
      </c>
      <c r="AH29" s="228" t="e">
        <f>IF(NFI_Expiration=1,IF(#REF!&lt;VLOOKUP(Q$5,NFI,5,0),1,0)*Table_NFI[[#This Row],[Plastic Bucket]],Table_NFI[Plastic Bucket])</f>
        <v>#REF!</v>
      </c>
      <c r="AI29" s="228" t="e">
        <f>IF(NFI_Expiration=1,IF(#REF!&lt;VLOOKUP(R$5,NFI,5,0),1,0)*Table_NFI[[#This Row],[Plastic Mat]],Table_NFI[Plastic Mat])*IF(Table_NFI[[#This Row],[Distribution Date]]&gt;"2014-04-01",1,2.5)</f>
        <v>#REF!</v>
      </c>
      <c r="AJ29" s="228" t="e">
        <f>IF(NFI_Expiration=1,IF(#REF!&lt;VLOOKUP(S$5,NFI,5,0),1,0)*Table_NFI[[#This Row],[Winter Clothes Adult]],Table_NFI[Winter Clothes Adult])</f>
        <v>#REF!</v>
      </c>
      <c r="AK29" s="228" t="e">
        <f>IF(NFI_Expiration=1,IF(#REF!&lt;VLOOKUP(T$5,NFI,5,0),1,0)*Table_NFI[[#This Row],[Winter Clothes Children]],Table_NFI[Winter Clothes Children])</f>
        <v>#REF!</v>
      </c>
      <c r="AL29" s="228" t="e">
        <f>IF(NFI_Expiration=1,IF(#REF!&lt;VLOOKUP(U$5,NFI,5,0),1,0)*Table_NFI[[#This Row],[Winter Items Other]],Table_NFI[Winter Items Other])</f>
        <v>#REF!</v>
      </c>
      <c r="AM29" s="228" t="e">
        <f>IF(NFI_Expiration=1,IF(#REF!&lt;VLOOKUP(N$5,NFI,5,0),1,0)*Table_NFI[[#This Row],[Winter Blanket]],Table_NFI[[#This Row],[Winter Blanket]])</f>
        <v>#REF!</v>
      </c>
      <c r="AN29" s="228">
        <f>IF(Table_NFI[[#This Row],[Winter Clothes Adult]]+Table_NFI[[#This Row],[Winter Clothes Children]]+Table_NFI[[#This Row],[Winter Items Other]]+Table_NFI[[#This Row],[Winter Blanket]]&gt;0,1,0)</f>
        <v>0</v>
      </c>
      <c r="AO29" s="229" t="e">
        <f>IF(NFI_Expiration=1,IF(#REF!&lt;VLOOKUP(W$5,NFI,5,0),1,0)*Table_NFI[[#This Row],[Jerry Can]],Table_NFI[Jerry Can])</f>
        <v>#REF!</v>
      </c>
      <c r="AP29" s="229" t="e">
        <f>IF(NFI_Expiration=1,IF(#REF!&lt;VLOOKUP(W$5,NFI,5,0),1,0)*Table_NFI[[#This Row],[Shelter Tool kit]],Table_NFI[Shelter Tool kit])</f>
        <v>#REF!</v>
      </c>
      <c r="AQ29" s="229" t="e">
        <f>IF(NFI_Expiration=1,IF(#REF!&lt;VLOOKUP(W$5,NFI,5,0),1,0)*Table_NFI[[#This Row],[Tent]],Table_NFI[Tent])</f>
        <v>#REF!</v>
      </c>
      <c r="AR29" s="230" t="str">
        <f>IFERROR(VLOOKUP(Table_NFI[[#This Row],[Location]],CL,2,0),"")</f>
        <v>MMR001CMP133</v>
      </c>
      <c r="AS29" s="668"/>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c r="DI29" s="390"/>
      <c r="DJ29" s="390"/>
      <c r="DK29" s="390"/>
      <c r="DL29" s="390"/>
      <c r="DM29" s="390"/>
    </row>
    <row r="30" spans="2:117" s="213" customFormat="1" ht="16.149999999999999" customHeight="1" x14ac:dyDescent="0.25">
      <c r="B30" s="749">
        <v>42893</v>
      </c>
      <c r="C30" s="627" t="s">
        <v>1599</v>
      </c>
      <c r="D30" s="627"/>
      <c r="E30" s="627" t="s">
        <v>378</v>
      </c>
      <c r="F30" s="627" t="s">
        <v>5</v>
      </c>
      <c r="G30" s="627" t="s">
        <v>12</v>
      </c>
      <c r="H30" s="626"/>
      <c r="I30" s="409"/>
      <c r="J30" s="409"/>
      <c r="K30" s="409"/>
      <c r="L30" s="409">
        <v>79</v>
      </c>
      <c r="M30" s="409"/>
      <c r="N30" s="409">
        <v>158</v>
      </c>
      <c r="O30" s="409">
        <v>79</v>
      </c>
      <c r="P30" s="409"/>
      <c r="Q30" s="409"/>
      <c r="R30" s="409">
        <v>79</v>
      </c>
      <c r="S30" s="409"/>
      <c r="T30" s="409"/>
      <c r="U30" s="409"/>
      <c r="V30" s="409"/>
      <c r="W30" s="410"/>
      <c r="X30" s="410"/>
      <c r="Y30" s="410"/>
      <c r="Z30" s="410"/>
      <c r="AA30" s="228" t="e">
        <f>IF(NFI_Expiration=1,IF(#REF!&lt;VLOOKUP(J$5,NFI,5,0),1,0)*Table_NFI[[#This Row],[NFI Core Kit]],Table_NFI[NFI Core Kit])</f>
        <v>#REF!</v>
      </c>
      <c r="AB30" s="228" t="e">
        <f>IF(NFI_Expiration=1,IF(#REF!&lt;VLOOKUP(K$5,NFI,5,0),1,0)*Table_NFI[[#This Row],[Sanitary Kit]],Table_NFI[Sanitary Kit])</f>
        <v>#REF!</v>
      </c>
      <c r="AC30" s="228" t="e">
        <f>IF(NFI_Expiration=1,IF(#REF!&lt;VLOOKUP(L$5,NFI,5,0),1,0)*Table_NFI[[#This Row],[Mosquito net]],Table_NFI[Mosquito net])</f>
        <v>#REF!</v>
      </c>
      <c r="AD30" s="228" t="e">
        <f>IF(NFI_Expiration=1,IF(#REF!&lt;VLOOKUP(M$5,NFI,5,0),1,0)*Table_NFI[[#This Row],[Tarpaulin]],Table_NFI[[#This Row],[Tarpaulin]])</f>
        <v>#REF!</v>
      </c>
      <c r="AE30" s="228" t="e">
        <f>IF(NFI_Expiration=1,IF(#REF!&lt;VLOOKUP(N$5,NFI,5,0),1,0)*Table_NFI[[#This Row],[Blanket]],Table_NFI[[#This Row],[Blanket]])</f>
        <v>#REF!</v>
      </c>
      <c r="AF30" s="228" t="e">
        <f>IF(NFI_Expiration=1,IF(#REF!&lt;VLOOKUP(O$5,NFI,5,0),1,0)*Table_NFI[[#This Row],[Kitchen Set]],Table_NFI[Kitchen Set])</f>
        <v>#REF!</v>
      </c>
      <c r="AG30" s="228" t="e">
        <f>IF(NFI_Expiration=1,IF(#REF!&lt;VLOOKUP(P$5,NFI,5,0),1,0)*Table_NFI[[#This Row],[Clothes Kit]],Table_NFI[Clothes Kit])</f>
        <v>#REF!</v>
      </c>
      <c r="AH30" s="228" t="e">
        <f>IF(NFI_Expiration=1,IF(#REF!&lt;VLOOKUP(Q$5,NFI,5,0),1,0)*Table_NFI[[#This Row],[Plastic Bucket]],Table_NFI[Plastic Bucket])</f>
        <v>#REF!</v>
      </c>
      <c r="AI30" s="228" t="e">
        <f>IF(NFI_Expiration=1,IF(#REF!&lt;VLOOKUP(R$5,NFI,5,0),1,0)*Table_NFI[[#This Row],[Plastic Mat]],Table_NFI[Plastic Mat])*IF(Table_NFI[[#This Row],[Distribution Date]]&gt;"2014-04-01",1,2.5)</f>
        <v>#REF!</v>
      </c>
      <c r="AJ30" s="228" t="e">
        <f>IF(NFI_Expiration=1,IF(#REF!&lt;VLOOKUP(S$5,NFI,5,0),1,0)*Table_NFI[[#This Row],[Winter Clothes Adult]],Table_NFI[Winter Clothes Adult])</f>
        <v>#REF!</v>
      </c>
      <c r="AK30" s="228" t="e">
        <f>IF(NFI_Expiration=1,IF(#REF!&lt;VLOOKUP(T$5,NFI,5,0),1,0)*Table_NFI[[#This Row],[Winter Clothes Children]],Table_NFI[Winter Clothes Children])</f>
        <v>#REF!</v>
      </c>
      <c r="AL30" s="228" t="e">
        <f>IF(NFI_Expiration=1,IF(#REF!&lt;VLOOKUP(U$5,NFI,5,0),1,0)*Table_NFI[[#This Row],[Winter Items Other]],Table_NFI[Winter Items Other])</f>
        <v>#REF!</v>
      </c>
      <c r="AM30" s="228" t="e">
        <f>IF(NFI_Expiration=1,IF(#REF!&lt;VLOOKUP(N$5,NFI,5,0),1,0)*Table_NFI[[#This Row],[Winter Blanket]],Table_NFI[[#This Row],[Winter Blanket]])</f>
        <v>#REF!</v>
      </c>
      <c r="AN30" s="228">
        <f>IF(Table_NFI[[#This Row],[Winter Clothes Adult]]+Table_NFI[[#This Row],[Winter Clothes Children]]+Table_NFI[[#This Row],[Winter Items Other]]+Table_NFI[[#This Row],[Winter Blanket]]&gt;0,1,0)</f>
        <v>0</v>
      </c>
      <c r="AO30" s="229" t="e">
        <f>IF(NFI_Expiration=1,IF(#REF!&lt;VLOOKUP(W$5,NFI,5,0),1,0)*Table_NFI[[#This Row],[Jerry Can]],Table_NFI[Jerry Can])</f>
        <v>#REF!</v>
      </c>
      <c r="AP30" s="229" t="e">
        <f>IF(NFI_Expiration=1,IF(#REF!&lt;VLOOKUP(W$5,NFI,5,0),1,0)*Table_NFI[[#This Row],[Shelter Tool kit]],Table_NFI[Shelter Tool kit])</f>
        <v>#REF!</v>
      </c>
      <c r="AQ30" s="229" t="e">
        <f>IF(NFI_Expiration=1,IF(#REF!&lt;VLOOKUP(W$5,NFI,5,0),1,0)*Table_NFI[[#This Row],[Tent]],Table_NFI[Tent])</f>
        <v>#REF!</v>
      </c>
      <c r="AR30" s="230" t="str">
        <f>IFERROR(VLOOKUP(Table_NFI[[#This Row],[Location]],CL,2,0),"")</f>
        <v>MMR001CMP163</v>
      </c>
      <c r="AS30" s="668"/>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c r="DM30" s="390"/>
    </row>
    <row r="31" spans="2:117" s="213" customFormat="1" ht="14.45" customHeight="1" x14ac:dyDescent="0.25">
      <c r="B31" s="750">
        <v>42903</v>
      </c>
      <c r="C31" s="627" t="s">
        <v>780</v>
      </c>
      <c r="D31" s="628"/>
      <c r="E31" s="462" t="s">
        <v>378</v>
      </c>
      <c r="F31" s="462" t="s">
        <v>1165</v>
      </c>
      <c r="G31" s="127" t="s">
        <v>1165</v>
      </c>
      <c r="H31" s="626">
        <v>288</v>
      </c>
      <c r="I31" s="409"/>
      <c r="J31" s="409"/>
      <c r="K31" s="409"/>
      <c r="L31" s="409"/>
      <c r="M31" s="409"/>
      <c r="N31" s="409"/>
      <c r="O31" s="409"/>
      <c r="P31" s="409"/>
      <c r="Q31" s="409"/>
      <c r="R31" s="409"/>
      <c r="S31" s="409"/>
      <c r="T31" s="409"/>
      <c r="U31" s="409"/>
      <c r="V31" s="409"/>
      <c r="W31" s="410"/>
      <c r="X31" s="410"/>
      <c r="Y31" s="410"/>
      <c r="Z31" s="410"/>
      <c r="AA31" s="228" t="e">
        <f>IF(NFI_Expiration=1,IF(#REF!&lt;VLOOKUP(J$5,NFI,5,0),1,0)*Table_NFI[[#This Row],[NFI Core Kit]],Table_NFI[NFI Core Kit])</f>
        <v>#REF!</v>
      </c>
      <c r="AB31" s="228" t="e">
        <f>IF(NFI_Expiration=1,IF(#REF!&lt;VLOOKUP(K$5,NFI,5,0),1,0)*Table_NFI[[#This Row],[Sanitary Kit]],Table_NFI[Sanitary Kit])</f>
        <v>#REF!</v>
      </c>
      <c r="AC31" s="228" t="e">
        <f>IF(NFI_Expiration=1,IF(#REF!&lt;VLOOKUP(L$5,NFI,5,0),1,0)*Table_NFI[[#This Row],[Mosquito net]],Table_NFI[Mosquito net])</f>
        <v>#REF!</v>
      </c>
      <c r="AD31" s="228" t="e">
        <f>IF(NFI_Expiration=1,IF(#REF!&lt;VLOOKUP(M$5,NFI,5,0),1,0)*Table_NFI[[#This Row],[Tarpaulin]],Table_NFI[[#This Row],[Tarpaulin]])</f>
        <v>#REF!</v>
      </c>
      <c r="AE31" s="228" t="e">
        <f>IF(NFI_Expiration=1,IF(#REF!&lt;VLOOKUP(N$5,NFI,5,0),1,0)*Table_NFI[[#This Row],[Blanket]],Table_NFI[[#This Row],[Blanket]])</f>
        <v>#REF!</v>
      </c>
      <c r="AF31" s="228" t="e">
        <f>IF(NFI_Expiration=1,IF(#REF!&lt;VLOOKUP(O$5,NFI,5,0),1,0)*Table_NFI[[#This Row],[Kitchen Set]],Table_NFI[Kitchen Set])</f>
        <v>#REF!</v>
      </c>
      <c r="AG31" s="228" t="e">
        <f>IF(NFI_Expiration=1,IF(#REF!&lt;VLOOKUP(P$5,NFI,5,0),1,0)*Table_NFI[[#This Row],[Clothes Kit]],Table_NFI[Clothes Kit])</f>
        <v>#REF!</v>
      </c>
      <c r="AH31" s="228" t="e">
        <f>IF(NFI_Expiration=1,IF(#REF!&lt;VLOOKUP(Q$5,NFI,5,0),1,0)*Table_NFI[[#This Row],[Plastic Bucket]],Table_NFI[Plastic Bucket])</f>
        <v>#REF!</v>
      </c>
      <c r="AI31" s="228" t="e">
        <f>IF(NFI_Expiration=1,IF(#REF!&lt;VLOOKUP(R$5,NFI,5,0),1,0)*Table_NFI[[#This Row],[Plastic Mat]],Table_NFI[Plastic Mat])*IF(Table_NFI[[#This Row],[Distribution Date]]&gt;"2014-04-01",1,2.5)</f>
        <v>#REF!</v>
      </c>
      <c r="AJ31" s="228" t="e">
        <f>IF(NFI_Expiration=1,IF(#REF!&lt;VLOOKUP(S$5,NFI,5,0),1,0)*Table_NFI[[#This Row],[Winter Clothes Adult]],Table_NFI[Winter Clothes Adult])</f>
        <v>#REF!</v>
      </c>
      <c r="AK31" s="228" t="e">
        <f>IF(NFI_Expiration=1,IF(#REF!&lt;VLOOKUP(T$5,NFI,5,0),1,0)*Table_NFI[[#This Row],[Winter Clothes Children]],Table_NFI[Winter Clothes Children])</f>
        <v>#REF!</v>
      </c>
      <c r="AL31" s="228" t="e">
        <f>IF(NFI_Expiration=1,IF(#REF!&lt;VLOOKUP(U$5,NFI,5,0),1,0)*Table_NFI[[#This Row],[Winter Items Other]],Table_NFI[Winter Items Other])</f>
        <v>#REF!</v>
      </c>
      <c r="AM31" s="228" t="e">
        <f>IF(NFI_Expiration=1,IF(#REF!&lt;VLOOKUP(N$5,NFI,5,0),1,0)*Table_NFI[[#This Row],[Winter Blanket]],Table_NFI[[#This Row],[Winter Blanket]])</f>
        <v>#REF!</v>
      </c>
      <c r="AN31" s="228">
        <f>IF(Table_NFI[[#This Row],[Winter Clothes Adult]]+Table_NFI[[#This Row],[Winter Clothes Children]]+Table_NFI[[#This Row],[Winter Items Other]]+Table_NFI[[#This Row],[Winter Blanket]]&gt;0,1,0)</f>
        <v>0</v>
      </c>
      <c r="AO31" s="229" t="e">
        <f>IF(NFI_Expiration=1,IF(#REF!&lt;VLOOKUP(W$5,NFI,5,0),1,0)*Table_NFI[[#This Row],[Jerry Can]],Table_NFI[Jerry Can])</f>
        <v>#REF!</v>
      </c>
      <c r="AP31" s="229" t="e">
        <f>IF(NFI_Expiration=1,IF(#REF!&lt;VLOOKUP(W$5,NFI,5,0),1,0)*Table_NFI[[#This Row],[Shelter Tool kit]],Table_NFI[Shelter Tool kit])</f>
        <v>#REF!</v>
      </c>
      <c r="AQ31" s="229" t="e">
        <f>IF(NFI_Expiration=1,IF(#REF!&lt;VLOOKUP(W$5,NFI,5,0),1,0)*Table_NFI[[#This Row],[Tent]],Table_NFI[Tent])</f>
        <v>#REF!</v>
      </c>
      <c r="AR31" s="230" t="str">
        <f>IFERROR(VLOOKUP(Table_NFI[[#This Row],[Location]],CL,2,0),"")</f>
        <v/>
      </c>
      <c r="AS31" s="232" t="s">
        <v>1566</v>
      </c>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c r="DI31" s="390"/>
      <c r="DJ31" s="390"/>
      <c r="DK31" s="390"/>
      <c r="DL31" s="390"/>
      <c r="DM31" s="390"/>
    </row>
    <row r="32" spans="2:117" s="213" customFormat="1" ht="13.9" customHeight="1" x14ac:dyDescent="0.25">
      <c r="B32" s="750">
        <v>42903</v>
      </c>
      <c r="C32" s="462" t="s">
        <v>827</v>
      </c>
      <c r="D32" s="218"/>
      <c r="E32" s="462" t="s">
        <v>378</v>
      </c>
      <c r="F32" s="462" t="s">
        <v>1165</v>
      </c>
      <c r="G32" s="127" t="s">
        <v>1165</v>
      </c>
      <c r="H32" s="127"/>
      <c r="I32" s="409"/>
      <c r="J32" s="409"/>
      <c r="K32" s="409"/>
      <c r="L32" s="409">
        <v>255</v>
      </c>
      <c r="M32" s="409">
        <v>255</v>
      </c>
      <c r="N32" s="409">
        <v>255</v>
      </c>
      <c r="O32" s="409"/>
      <c r="P32" s="409"/>
      <c r="Q32" s="409"/>
      <c r="R32" s="409"/>
      <c r="S32" s="409"/>
      <c r="T32" s="409"/>
      <c r="U32" s="409"/>
      <c r="V32" s="409"/>
      <c r="W32" s="410"/>
      <c r="X32" s="410"/>
      <c r="Y32" s="410"/>
      <c r="Z32" s="410"/>
      <c r="AA32" s="228" t="e">
        <f>IF(NFI_Expiration=1,IF(#REF!&lt;VLOOKUP(J$5,NFI,5,0),1,0)*Table_NFI[[#This Row],[NFI Core Kit]],Table_NFI[NFI Core Kit])</f>
        <v>#REF!</v>
      </c>
      <c r="AB32" s="228" t="e">
        <f>IF(NFI_Expiration=1,IF(#REF!&lt;VLOOKUP(K$5,NFI,5,0),1,0)*Table_NFI[[#This Row],[Sanitary Kit]],Table_NFI[Sanitary Kit])</f>
        <v>#REF!</v>
      </c>
      <c r="AC32" s="228" t="e">
        <f>IF(NFI_Expiration=1,IF(#REF!&lt;VLOOKUP(L$5,NFI,5,0),1,0)*Table_NFI[[#This Row],[Mosquito net]],Table_NFI[Mosquito net])</f>
        <v>#REF!</v>
      </c>
      <c r="AD32" s="228" t="e">
        <f>IF(NFI_Expiration=1,IF(#REF!&lt;VLOOKUP(M$5,NFI,5,0),1,0)*Table_NFI[[#This Row],[Tarpaulin]],Table_NFI[[#This Row],[Tarpaulin]])</f>
        <v>#REF!</v>
      </c>
      <c r="AE32" s="228" t="e">
        <f>IF(NFI_Expiration=1,IF(#REF!&lt;VLOOKUP(N$5,NFI,5,0),1,0)*Table_NFI[[#This Row],[Blanket]],Table_NFI[[#This Row],[Blanket]])</f>
        <v>#REF!</v>
      </c>
      <c r="AF32" s="228" t="e">
        <f>IF(NFI_Expiration=1,IF(#REF!&lt;VLOOKUP(O$5,NFI,5,0),1,0)*Table_NFI[[#This Row],[Kitchen Set]],Table_NFI[Kitchen Set])</f>
        <v>#REF!</v>
      </c>
      <c r="AG32" s="228" t="e">
        <f>IF(NFI_Expiration=1,IF(#REF!&lt;VLOOKUP(P$5,NFI,5,0),1,0)*Table_NFI[[#This Row],[Clothes Kit]],Table_NFI[Clothes Kit])</f>
        <v>#REF!</v>
      </c>
      <c r="AH32" s="228" t="e">
        <f>IF(NFI_Expiration=1,IF(#REF!&lt;VLOOKUP(Q$5,NFI,5,0),1,0)*Table_NFI[[#This Row],[Plastic Bucket]],Table_NFI[Plastic Bucket])</f>
        <v>#REF!</v>
      </c>
      <c r="AI32" s="228" t="e">
        <f>IF(NFI_Expiration=1,IF(#REF!&lt;VLOOKUP(R$5,NFI,5,0),1,0)*Table_NFI[[#This Row],[Plastic Mat]],Table_NFI[Plastic Mat])*IF(Table_NFI[[#This Row],[Distribution Date]]&gt;"2014-04-01",1,2.5)</f>
        <v>#REF!</v>
      </c>
      <c r="AJ32" s="228" t="e">
        <f>IF(NFI_Expiration=1,IF(#REF!&lt;VLOOKUP(S$5,NFI,5,0),1,0)*Table_NFI[[#This Row],[Winter Clothes Adult]],Table_NFI[Winter Clothes Adult])</f>
        <v>#REF!</v>
      </c>
      <c r="AK32" s="228" t="e">
        <f>IF(NFI_Expiration=1,IF(#REF!&lt;VLOOKUP(T$5,NFI,5,0),1,0)*Table_NFI[[#This Row],[Winter Clothes Children]],Table_NFI[Winter Clothes Children])</f>
        <v>#REF!</v>
      </c>
      <c r="AL32" s="228" t="e">
        <f>IF(NFI_Expiration=1,IF(#REF!&lt;VLOOKUP(U$5,NFI,5,0),1,0)*Table_NFI[[#This Row],[Winter Items Other]],Table_NFI[Winter Items Other])</f>
        <v>#REF!</v>
      </c>
      <c r="AM32" s="228" t="e">
        <f>IF(NFI_Expiration=1,IF(#REF!&lt;VLOOKUP(N$5,NFI,5,0),1,0)*Table_NFI[[#This Row],[Winter Blanket]],Table_NFI[[#This Row],[Winter Blanket]])</f>
        <v>#REF!</v>
      </c>
      <c r="AN32" s="228">
        <f>IF(Table_NFI[[#This Row],[Winter Clothes Adult]]+Table_NFI[[#This Row],[Winter Clothes Children]]+Table_NFI[[#This Row],[Winter Items Other]]+Table_NFI[[#This Row],[Winter Blanket]]&gt;0,1,0)</f>
        <v>0</v>
      </c>
      <c r="AO32" s="229" t="e">
        <f>IF(NFI_Expiration=1,IF(#REF!&lt;VLOOKUP(W$5,NFI,5,0),1,0)*Table_NFI[[#This Row],[Jerry Can]],Table_NFI[Jerry Can])</f>
        <v>#REF!</v>
      </c>
      <c r="AP32" s="229" t="e">
        <f>IF(NFI_Expiration=1,IF(#REF!&lt;VLOOKUP(W$5,NFI,5,0),1,0)*Table_NFI[[#This Row],[Shelter Tool kit]],Table_NFI[Shelter Tool kit])</f>
        <v>#REF!</v>
      </c>
      <c r="AQ32" s="229" t="e">
        <f>IF(NFI_Expiration=1,IF(#REF!&lt;VLOOKUP(W$5,NFI,5,0),1,0)*Table_NFI[[#This Row],[Tent]],Table_NFI[Tent])</f>
        <v>#REF!</v>
      </c>
      <c r="AR32" s="230" t="str">
        <f>IFERROR(VLOOKUP(Table_NFI[[#This Row],[Location]],CL,2,0),"")</f>
        <v/>
      </c>
      <c r="AS32" s="232" t="s">
        <v>1565</v>
      </c>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c r="CQ32" s="390"/>
      <c r="CR32" s="390"/>
      <c r="CS32" s="390"/>
      <c r="CT32" s="390"/>
      <c r="CU32" s="390"/>
      <c r="CV32" s="390"/>
      <c r="CW32" s="390"/>
      <c r="CX32" s="390"/>
      <c r="CY32" s="390"/>
      <c r="CZ32" s="390"/>
      <c r="DA32" s="390"/>
      <c r="DB32" s="390"/>
      <c r="DC32" s="390"/>
      <c r="DD32" s="390"/>
      <c r="DE32" s="390"/>
      <c r="DF32" s="390"/>
      <c r="DG32" s="390"/>
      <c r="DH32" s="390"/>
      <c r="DI32" s="390"/>
      <c r="DJ32" s="390"/>
      <c r="DK32" s="390"/>
      <c r="DL32" s="390"/>
      <c r="DM32" s="390"/>
    </row>
    <row r="33" spans="2:117" s="231" customFormat="1" ht="16.149999999999999" customHeight="1" x14ac:dyDescent="0.25">
      <c r="B33" s="747">
        <v>42885</v>
      </c>
      <c r="C33" s="462" t="s">
        <v>1296</v>
      </c>
      <c r="D33" s="462"/>
      <c r="E33" s="462" t="s">
        <v>507</v>
      </c>
      <c r="F33" s="462" t="s">
        <v>297</v>
      </c>
      <c r="G33" s="127" t="s">
        <v>761</v>
      </c>
      <c r="H33" s="127"/>
      <c r="I33" s="463"/>
      <c r="J33" s="463"/>
      <c r="K33" s="463"/>
      <c r="L33" s="463">
        <v>46</v>
      </c>
      <c r="M33" s="463">
        <v>9</v>
      </c>
      <c r="N33" s="463">
        <v>46</v>
      </c>
      <c r="O33" s="463">
        <v>46</v>
      </c>
      <c r="P33" s="463"/>
      <c r="Q33" s="463"/>
      <c r="R33" s="463">
        <v>46</v>
      </c>
      <c r="S33" s="463"/>
      <c r="T33" s="463"/>
      <c r="U33" s="463"/>
      <c r="V33" s="463"/>
      <c r="W33" s="464"/>
      <c r="X33" s="464"/>
      <c r="Y33" s="463"/>
      <c r="Z33" s="463"/>
      <c r="AA33" s="465" t="e">
        <f>IF(NFI_Expiration=1,IF(#REF!&lt;VLOOKUP(J$5,NFI,5,0),1,0)*Table_NFI[[#This Row],[NFI Core Kit]],Table_NFI[NFI Core Kit])</f>
        <v>#REF!</v>
      </c>
      <c r="AB33" s="465" t="e">
        <f>IF(NFI_Expiration=1,IF(#REF!&lt;VLOOKUP(K$5,NFI,5,0),1,0)*Table_NFI[[#This Row],[Sanitary Kit]],Table_NFI[Sanitary Kit])</f>
        <v>#REF!</v>
      </c>
      <c r="AC33" s="465" t="e">
        <f>IF(NFI_Expiration=1,IF(#REF!&lt;VLOOKUP(L$5,NFI,5,0),1,0)*Table_NFI[[#This Row],[Mosquito net]],Table_NFI[Mosquito net])</f>
        <v>#REF!</v>
      </c>
      <c r="AD33" s="465" t="e">
        <f>IF(NFI_Expiration=1,IF(#REF!&lt;VLOOKUP(M$5,NFI,5,0),1,0)*Table_NFI[[#This Row],[Tarpaulin]],Table_NFI[[#This Row],[Tarpaulin]])</f>
        <v>#REF!</v>
      </c>
      <c r="AE33" s="465" t="e">
        <f>IF(NFI_Expiration=1,IF(#REF!&lt;VLOOKUP(N$5,NFI,5,0),1,0)*Table_NFI[[#This Row],[Blanket]],Table_NFI[[#This Row],[Blanket]])</f>
        <v>#REF!</v>
      </c>
      <c r="AF33" s="465" t="e">
        <f>IF(NFI_Expiration=1,IF(#REF!&lt;VLOOKUP(O$5,NFI,5,0),1,0)*Table_NFI[[#This Row],[Kitchen Set]],Table_NFI[Kitchen Set])</f>
        <v>#REF!</v>
      </c>
      <c r="AG33" s="465" t="e">
        <f>IF(NFI_Expiration=1,IF(#REF!&lt;VLOOKUP(P$5,NFI,5,0),1,0)*Table_NFI[[#This Row],[Clothes Kit]],Table_NFI[Clothes Kit])</f>
        <v>#REF!</v>
      </c>
      <c r="AH33" s="465" t="e">
        <f>IF(NFI_Expiration=1,IF(#REF!&lt;VLOOKUP(Q$5,NFI,5,0),1,0)*Table_NFI[[#This Row],[Plastic Bucket]],Table_NFI[Plastic Bucket])</f>
        <v>#REF!</v>
      </c>
      <c r="AI33" s="465" t="e">
        <f>IF(NFI_Expiration=1,IF(#REF!&lt;VLOOKUP(R$5,NFI,5,0),1,0)*Table_NFI[[#This Row],[Plastic Mat]],Table_NFI[Plastic Mat])*IF(Table_NFI[[#This Row],[Distribution Date]]&gt;"2014-04-01",1,2.5)</f>
        <v>#REF!</v>
      </c>
      <c r="AJ33" s="465" t="e">
        <f>IF(NFI_Expiration=1,IF(#REF!&lt;VLOOKUP(S$5,NFI,5,0),1,0)*Table_NFI[[#This Row],[Winter Clothes Adult]],Table_NFI[Winter Clothes Adult])</f>
        <v>#REF!</v>
      </c>
      <c r="AK33" s="465" t="e">
        <f>IF(NFI_Expiration=1,IF(#REF!&lt;VLOOKUP(T$5,NFI,5,0),1,0)*Table_NFI[[#This Row],[Winter Clothes Children]],Table_NFI[Winter Clothes Children])</f>
        <v>#REF!</v>
      </c>
      <c r="AL33" s="465" t="e">
        <f>IF(NFI_Expiration=1,IF(#REF!&lt;VLOOKUP(U$5,NFI,5,0),1,0)*Table_NFI[[#This Row],[Winter Items Other]],Table_NFI[Winter Items Other])</f>
        <v>#REF!</v>
      </c>
      <c r="AM33" s="465" t="e">
        <f>IF(NFI_Expiration=1,IF(#REF!&lt;VLOOKUP(N$5,NFI,5,0),1,0)*Table_NFI[[#This Row],[Winter Blanket]],Table_NFI[[#This Row],[Winter Blanket]])</f>
        <v>#REF!</v>
      </c>
      <c r="AN33" s="465">
        <f>IF(Table_NFI[[#This Row],[Winter Clothes Adult]]+Table_NFI[[#This Row],[Winter Clothes Children]]+Table_NFI[[#This Row],[Winter Items Other]]+Table_NFI[[#This Row],[Winter Blanket]]&gt;0,1,0)</f>
        <v>0</v>
      </c>
      <c r="AO33" s="466" t="e">
        <f>IF(NFI_Expiration=1,IF(#REF!&lt;VLOOKUP(W$5,NFI,5,0),1,0)*Table_NFI[[#This Row],[Jerry Can]],Table_NFI[Jerry Can])</f>
        <v>#REF!</v>
      </c>
      <c r="AP33" s="466" t="e">
        <f>IF(NFI_Expiration=1,IF(#REF!&lt;VLOOKUP(W$5,NFI,5,0),1,0)*Table_NFI[[#This Row],[Shelter Tool kit]],Table_NFI[Shelter Tool kit])</f>
        <v>#REF!</v>
      </c>
      <c r="AQ33" s="466" t="e">
        <f>IF(NFI_Expiration=1,IF(#REF!&lt;VLOOKUP(W$5,NFI,5,0),1,0)*Table_NFI[[#This Row],[Tent]],Table_NFI[Tent])</f>
        <v>#REF!</v>
      </c>
      <c r="AR33" s="467" t="str">
        <f>IFERROR(VLOOKUP(Table_NFI[[#This Row],[Location]],CL,2,0),"")</f>
        <v>MMR015CMP014</v>
      </c>
      <c r="AS33" s="469" t="s">
        <v>1423</v>
      </c>
      <c r="AT33" s="391"/>
      <c r="AU33" s="391"/>
      <c r="AV33" s="391"/>
      <c r="AW33" s="391"/>
      <c r="AX33" s="391"/>
      <c r="AY33" s="391"/>
      <c r="AZ33" s="391"/>
      <c r="BA33" s="391"/>
      <c r="BB33" s="391"/>
      <c r="BC33" s="391"/>
      <c r="BD33" s="391"/>
      <c r="BE33" s="391"/>
      <c r="BF33" s="391"/>
      <c r="BG33" s="391"/>
      <c r="BH33" s="391"/>
      <c r="BI33" s="391"/>
      <c r="BJ33" s="391"/>
      <c r="BK33" s="391"/>
      <c r="BL33" s="391"/>
      <c r="BM33" s="391"/>
      <c r="BN33" s="391"/>
      <c r="BO33" s="391"/>
      <c r="BP33" s="391"/>
      <c r="BQ33" s="391"/>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row>
    <row r="34" spans="2:117" s="231" customFormat="1" ht="16.149999999999999" customHeight="1" x14ac:dyDescent="0.25">
      <c r="B34" s="747">
        <v>42885</v>
      </c>
      <c r="C34" s="462" t="s">
        <v>1296</v>
      </c>
      <c r="D34" s="462"/>
      <c r="E34" s="462" t="s">
        <v>507</v>
      </c>
      <c r="F34" s="462" t="s">
        <v>297</v>
      </c>
      <c r="G34" s="127" t="s">
        <v>1221</v>
      </c>
      <c r="H34" s="127"/>
      <c r="I34" s="463"/>
      <c r="J34" s="463"/>
      <c r="K34" s="463"/>
      <c r="L34" s="463">
        <v>25</v>
      </c>
      <c r="M34" s="463">
        <v>5</v>
      </c>
      <c r="N34" s="463">
        <v>25</v>
      </c>
      <c r="O34" s="463">
        <v>25</v>
      </c>
      <c r="P34" s="463"/>
      <c r="Q34" s="463"/>
      <c r="R34" s="463">
        <v>25</v>
      </c>
      <c r="S34" s="463"/>
      <c r="T34" s="463"/>
      <c r="U34" s="463"/>
      <c r="V34" s="463"/>
      <c r="W34" s="464"/>
      <c r="X34" s="464"/>
      <c r="Y34" s="463"/>
      <c r="Z34" s="463"/>
      <c r="AA34" s="465" t="e">
        <f>IF(NFI_Expiration=1,IF(#REF!&lt;VLOOKUP(J$5,NFI,5,0),1,0)*Table_NFI[[#This Row],[NFI Core Kit]],Table_NFI[NFI Core Kit])</f>
        <v>#REF!</v>
      </c>
      <c r="AB34" s="465" t="e">
        <f>IF(NFI_Expiration=1,IF(#REF!&lt;VLOOKUP(K$5,NFI,5,0),1,0)*Table_NFI[[#This Row],[Sanitary Kit]],Table_NFI[Sanitary Kit])</f>
        <v>#REF!</v>
      </c>
      <c r="AC34" s="465" t="e">
        <f>IF(NFI_Expiration=1,IF(#REF!&lt;VLOOKUP(L$5,NFI,5,0),1,0)*Table_NFI[[#This Row],[Mosquito net]],Table_NFI[Mosquito net])</f>
        <v>#REF!</v>
      </c>
      <c r="AD34" s="465" t="e">
        <f>IF(NFI_Expiration=1,IF(#REF!&lt;VLOOKUP(M$5,NFI,5,0),1,0)*Table_NFI[[#This Row],[Tarpaulin]],Table_NFI[[#This Row],[Tarpaulin]])</f>
        <v>#REF!</v>
      </c>
      <c r="AE34" s="465" t="e">
        <f>IF(NFI_Expiration=1,IF(#REF!&lt;VLOOKUP(N$5,NFI,5,0),1,0)*Table_NFI[[#This Row],[Blanket]],Table_NFI[[#This Row],[Blanket]])</f>
        <v>#REF!</v>
      </c>
      <c r="AF34" s="465" t="e">
        <f>IF(NFI_Expiration=1,IF(#REF!&lt;VLOOKUP(O$5,NFI,5,0),1,0)*Table_NFI[[#This Row],[Kitchen Set]],Table_NFI[Kitchen Set])</f>
        <v>#REF!</v>
      </c>
      <c r="AG34" s="465" t="e">
        <f>IF(NFI_Expiration=1,IF(#REF!&lt;VLOOKUP(P$5,NFI,5,0),1,0)*Table_NFI[[#This Row],[Clothes Kit]],Table_NFI[Clothes Kit])</f>
        <v>#REF!</v>
      </c>
      <c r="AH34" s="465" t="e">
        <f>IF(NFI_Expiration=1,IF(#REF!&lt;VLOOKUP(Q$5,NFI,5,0),1,0)*Table_NFI[[#This Row],[Plastic Bucket]],Table_NFI[Plastic Bucket])</f>
        <v>#REF!</v>
      </c>
      <c r="AI34" s="465" t="e">
        <f>IF(NFI_Expiration=1,IF(#REF!&lt;VLOOKUP(R$5,NFI,5,0),1,0)*Table_NFI[[#This Row],[Plastic Mat]],Table_NFI[Plastic Mat])*IF(Table_NFI[[#This Row],[Distribution Date]]&gt;"2014-04-01",1,2.5)</f>
        <v>#REF!</v>
      </c>
      <c r="AJ34" s="465" t="e">
        <f>IF(NFI_Expiration=1,IF(#REF!&lt;VLOOKUP(S$5,NFI,5,0),1,0)*Table_NFI[[#This Row],[Winter Clothes Adult]],Table_NFI[Winter Clothes Adult])</f>
        <v>#REF!</v>
      </c>
      <c r="AK34" s="465" t="e">
        <f>IF(NFI_Expiration=1,IF(#REF!&lt;VLOOKUP(T$5,NFI,5,0),1,0)*Table_NFI[[#This Row],[Winter Clothes Children]],Table_NFI[Winter Clothes Children])</f>
        <v>#REF!</v>
      </c>
      <c r="AL34" s="465" t="e">
        <f>IF(NFI_Expiration=1,IF(#REF!&lt;VLOOKUP(U$5,NFI,5,0),1,0)*Table_NFI[[#This Row],[Winter Items Other]],Table_NFI[Winter Items Other])</f>
        <v>#REF!</v>
      </c>
      <c r="AM34" s="465" t="e">
        <f>IF(NFI_Expiration=1,IF(#REF!&lt;VLOOKUP(N$5,NFI,5,0),1,0)*Table_NFI[[#This Row],[Winter Blanket]],Table_NFI[[#This Row],[Winter Blanket]])</f>
        <v>#REF!</v>
      </c>
      <c r="AN34" s="465">
        <f>IF(Table_NFI[[#This Row],[Winter Clothes Adult]]+Table_NFI[[#This Row],[Winter Clothes Children]]+Table_NFI[[#This Row],[Winter Items Other]]+Table_NFI[[#This Row],[Winter Blanket]]&gt;0,1,0)</f>
        <v>0</v>
      </c>
      <c r="AO34" s="466" t="e">
        <f>IF(NFI_Expiration=1,IF(#REF!&lt;VLOOKUP(W$5,NFI,5,0),1,0)*Table_NFI[[#This Row],[Jerry Can]],Table_NFI[Jerry Can])</f>
        <v>#REF!</v>
      </c>
      <c r="AP34" s="466" t="e">
        <f>IF(NFI_Expiration=1,IF(#REF!&lt;VLOOKUP(W$5,NFI,5,0),1,0)*Table_NFI[[#This Row],[Shelter Tool kit]],Table_NFI[Shelter Tool kit])</f>
        <v>#REF!</v>
      </c>
      <c r="AQ34" s="466" t="e">
        <f>IF(NFI_Expiration=1,IF(#REF!&lt;VLOOKUP(W$5,NFI,5,0),1,0)*Table_NFI[[#This Row],[Tent]],Table_NFI[Tent])</f>
        <v>#REF!</v>
      </c>
      <c r="AR34" s="467" t="str">
        <f>IFERROR(VLOOKUP(Table_NFI[[#This Row],[Location]],CL,2,0),"")</f>
        <v>MMR015CMP232</v>
      </c>
      <c r="AS34" s="469" t="s">
        <v>1423</v>
      </c>
      <c r="AT34" s="391"/>
      <c r="AU34" s="391"/>
      <c r="AV34" s="391"/>
      <c r="AW34" s="391"/>
      <c r="AX34" s="391"/>
      <c r="AY34" s="391"/>
      <c r="AZ34" s="391"/>
      <c r="BA34" s="391"/>
      <c r="BB34" s="391"/>
      <c r="BC34" s="391"/>
      <c r="BD34" s="391"/>
      <c r="BE34" s="391"/>
      <c r="BF34" s="391"/>
      <c r="BG34" s="391"/>
      <c r="BH34" s="391"/>
      <c r="BI34" s="391"/>
      <c r="BJ34" s="391"/>
      <c r="BK34" s="391"/>
      <c r="BL34" s="391"/>
      <c r="BM34" s="391"/>
      <c r="BN34" s="391"/>
      <c r="BO34" s="391"/>
      <c r="BP34" s="391"/>
      <c r="BQ34" s="391"/>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c r="DA34" s="391"/>
      <c r="DB34" s="391"/>
      <c r="DC34" s="391"/>
      <c r="DD34" s="391"/>
      <c r="DE34" s="391"/>
      <c r="DF34" s="391"/>
      <c r="DG34" s="391"/>
      <c r="DH34" s="391"/>
      <c r="DI34" s="391"/>
      <c r="DJ34" s="391"/>
      <c r="DK34" s="391"/>
      <c r="DL34" s="391"/>
      <c r="DM34" s="391"/>
    </row>
    <row r="35" spans="2:117" s="231" customFormat="1" ht="16.149999999999999" customHeight="1" x14ac:dyDescent="0.25">
      <c r="B35" s="747">
        <v>42885</v>
      </c>
      <c r="C35" s="462" t="s">
        <v>1296</v>
      </c>
      <c r="D35" s="462"/>
      <c r="E35" s="462" t="s">
        <v>507</v>
      </c>
      <c r="F35" s="462" t="s">
        <v>297</v>
      </c>
      <c r="G35" s="127" t="s">
        <v>1166</v>
      </c>
      <c r="H35" s="127"/>
      <c r="I35" s="463"/>
      <c r="J35" s="463"/>
      <c r="K35" s="463"/>
      <c r="L35" s="463">
        <v>16</v>
      </c>
      <c r="M35" s="463">
        <v>3</v>
      </c>
      <c r="N35" s="463">
        <v>16</v>
      </c>
      <c r="O35" s="463">
        <v>16</v>
      </c>
      <c r="P35" s="463"/>
      <c r="Q35" s="463"/>
      <c r="R35" s="463">
        <v>16</v>
      </c>
      <c r="S35" s="463"/>
      <c r="T35" s="463"/>
      <c r="U35" s="463"/>
      <c r="V35" s="463"/>
      <c r="W35" s="464"/>
      <c r="X35" s="464"/>
      <c r="Y35" s="463"/>
      <c r="Z35" s="463"/>
      <c r="AA35" s="465" t="e">
        <f>IF(NFI_Expiration=1,IF(#REF!&lt;VLOOKUP(J$5,NFI,5,0),1,0)*Table_NFI[[#This Row],[NFI Core Kit]],Table_NFI[NFI Core Kit])</f>
        <v>#REF!</v>
      </c>
      <c r="AB35" s="465" t="e">
        <f>IF(NFI_Expiration=1,IF(#REF!&lt;VLOOKUP(K$5,NFI,5,0),1,0)*Table_NFI[[#This Row],[Sanitary Kit]],Table_NFI[Sanitary Kit])</f>
        <v>#REF!</v>
      </c>
      <c r="AC35" s="465" t="e">
        <f>IF(NFI_Expiration=1,IF(#REF!&lt;VLOOKUP(L$5,NFI,5,0),1,0)*Table_NFI[[#This Row],[Mosquito net]],Table_NFI[Mosquito net])</f>
        <v>#REF!</v>
      </c>
      <c r="AD35" s="465" t="e">
        <f>IF(NFI_Expiration=1,IF(#REF!&lt;VLOOKUP(M$5,NFI,5,0),1,0)*Table_NFI[[#This Row],[Tarpaulin]],Table_NFI[[#This Row],[Tarpaulin]])</f>
        <v>#REF!</v>
      </c>
      <c r="AE35" s="465" t="e">
        <f>IF(NFI_Expiration=1,IF(#REF!&lt;VLOOKUP(N$5,NFI,5,0),1,0)*Table_NFI[[#This Row],[Blanket]],Table_NFI[[#This Row],[Blanket]])</f>
        <v>#REF!</v>
      </c>
      <c r="AF35" s="465" t="e">
        <f>IF(NFI_Expiration=1,IF(#REF!&lt;VLOOKUP(O$5,NFI,5,0),1,0)*Table_NFI[[#This Row],[Kitchen Set]],Table_NFI[Kitchen Set])</f>
        <v>#REF!</v>
      </c>
      <c r="AG35" s="465" t="e">
        <f>IF(NFI_Expiration=1,IF(#REF!&lt;VLOOKUP(P$5,NFI,5,0),1,0)*Table_NFI[[#This Row],[Clothes Kit]],Table_NFI[Clothes Kit])</f>
        <v>#REF!</v>
      </c>
      <c r="AH35" s="465" t="e">
        <f>IF(NFI_Expiration=1,IF(#REF!&lt;VLOOKUP(Q$5,NFI,5,0),1,0)*Table_NFI[[#This Row],[Plastic Bucket]],Table_NFI[Plastic Bucket])</f>
        <v>#REF!</v>
      </c>
      <c r="AI35" s="465" t="e">
        <f>IF(NFI_Expiration=1,IF(#REF!&lt;VLOOKUP(R$5,NFI,5,0),1,0)*Table_NFI[[#This Row],[Plastic Mat]],Table_NFI[Plastic Mat])*IF(Table_NFI[[#This Row],[Distribution Date]]&gt;"2014-04-01",1,2.5)</f>
        <v>#REF!</v>
      </c>
      <c r="AJ35" s="465" t="e">
        <f>IF(NFI_Expiration=1,IF(#REF!&lt;VLOOKUP(S$5,NFI,5,0),1,0)*Table_NFI[[#This Row],[Winter Clothes Adult]],Table_NFI[Winter Clothes Adult])</f>
        <v>#REF!</v>
      </c>
      <c r="AK35" s="465" t="e">
        <f>IF(NFI_Expiration=1,IF(#REF!&lt;VLOOKUP(T$5,NFI,5,0),1,0)*Table_NFI[[#This Row],[Winter Clothes Children]],Table_NFI[Winter Clothes Children])</f>
        <v>#REF!</v>
      </c>
      <c r="AL35" s="465" t="e">
        <f>IF(NFI_Expiration=1,IF(#REF!&lt;VLOOKUP(U$5,NFI,5,0),1,0)*Table_NFI[[#This Row],[Winter Items Other]],Table_NFI[Winter Items Other])</f>
        <v>#REF!</v>
      </c>
      <c r="AM35" s="465" t="e">
        <f>IF(NFI_Expiration=1,IF(#REF!&lt;VLOOKUP(N$5,NFI,5,0),1,0)*Table_NFI[[#This Row],[Winter Blanket]],Table_NFI[[#This Row],[Winter Blanket]])</f>
        <v>#REF!</v>
      </c>
      <c r="AN35" s="465">
        <f>IF(Table_NFI[[#This Row],[Winter Clothes Adult]]+Table_NFI[[#This Row],[Winter Clothes Children]]+Table_NFI[[#This Row],[Winter Items Other]]+Table_NFI[[#This Row],[Winter Blanket]]&gt;0,1,0)</f>
        <v>0</v>
      </c>
      <c r="AO35" s="466" t="e">
        <f>IF(NFI_Expiration=1,IF(#REF!&lt;VLOOKUP(W$5,NFI,5,0),1,0)*Table_NFI[[#This Row],[Jerry Can]],Table_NFI[Jerry Can])</f>
        <v>#REF!</v>
      </c>
      <c r="AP35" s="466" t="e">
        <f>IF(NFI_Expiration=1,IF(#REF!&lt;VLOOKUP(W$5,NFI,5,0),1,0)*Table_NFI[[#This Row],[Shelter Tool kit]],Table_NFI[Shelter Tool kit])</f>
        <v>#REF!</v>
      </c>
      <c r="AQ35" s="466" t="e">
        <f>IF(NFI_Expiration=1,IF(#REF!&lt;VLOOKUP(W$5,NFI,5,0),1,0)*Table_NFI[[#This Row],[Tent]],Table_NFI[Tent])</f>
        <v>#REF!</v>
      </c>
      <c r="AR35" s="467" t="str">
        <f>IFERROR(VLOOKUP(Table_NFI[[#This Row],[Location]],CL,2,0),"")</f>
        <v>MMR015CMP221</v>
      </c>
      <c r="AS35" s="469" t="s">
        <v>1423</v>
      </c>
      <c r="AT35" s="391"/>
      <c r="AU35" s="391"/>
      <c r="AV35" s="391"/>
      <c r="AW35" s="391"/>
      <c r="AX35" s="391"/>
      <c r="AY35" s="391"/>
      <c r="AZ35" s="391"/>
      <c r="BA35" s="391"/>
      <c r="BB35" s="391"/>
      <c r="BC35" s="391"/>
      <c r="BD35" s="391"/>
      <c r="BE35" s="391"/>
      <c r="BF35" s="391"/>
      <c r="BG35" s="391"/>
      <c r="BH35" s="391"/>
      <c r="BI35" s="391"/>
      <c r="BJ35" s="391"/>
      <c r="BK35" s="391"/>
      <c r="BL35" s="391"/>
      <c r="BM35" s="391"/>
      <c r="BN35" s="391"/>
      <c r="BO35" s="391"/>
      <c r="BP35" s="391"/>
      <c r="BQ35" s="391"/>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row>
    <row r="36" spans="2:117" s="231" customFormat="1" ht="16.149999999999999" customHeight="1" x14ac:dyDescent="0.25">
      <c r="B36" s="747">
        <v>42885</v>
      </c>
      <c r="C36" s="462" t="s">
        <v>1296</v>
      </c>
      <c r="D36" s="462"/>
      <c r="E36" s="468" t="s">
        <v>507</v>
      </c>
      <c r="F36" s="462" t="s">
        <v>297</v>
      </c>
      <c r="G36" s="127" t="s">
        <v>1425</v>
      </c>
      <c r="H36" s="127"/>
      <c r="I36" s="463"/>
      <c r="J36" s="463"/>
      <c r="K36" s="463"/>
      <c r="L36" s="463">
        <v>60</v>
      </c>
      <c r="M36" s="463"/>
      <c r="N36" s="463">
        <v>60</v>
      </c>
      <c r="O36" s="463">
        <v>60</v>
      </c>
      <c r="P36" s="463"/>
      <c r="Q36" s="463"/>
      <c r="R36" s="463">
        <v>60</v>
      </c>
      <c r="S36" s="463"/>
      <c r="T36" s="463"/>
      <c r="U36" s="463"/>
      <c r="V36" s="463"/>
      <c r="W36" s="464"/>
      <c r="X36" s="464"/>
      <c r="Y36" s="464"/>
      <c r="Z36" s="464"/>
      <c r="AA36" s="465" t="e">
        <f>IF(NFI_Expiration=1,IF(#REF!&lt;VLOOKUP(J$5,NFI,5,0),1,0)*Table_NFI[[#This Row],[NFI Core Kit]],Table_NFI[NFI Core Kit])</f>
        <v>#REF!</v>
      </c>
      <c r="AB36" s="465" t="e">
        <f>IF(NFI_Expiration=1,IF(#REF!&lt;VLOOKUP(K$5,NFI,5,0),1,0)*Table_NFI[[#This Row],[Sanitary Kit]],Table_NFI[Sanitary Kit])</f>
        <v>#REF!</v>
      </c>
      <c r="AC36" s="465" t="e">
        <f>IF(NFI_Expiration=1,IF(#REF!&lt;VLOOKUP(L$5,NFI,5,0),1,0)*Table_NFI[[#This Row],[Mosquito net]],Table_NFI[Mosquito net])</f>
        <v>#REF!</v>
      </c>
      <c r="AD36" s="465" t="e">
        <f>IF(NFI_Expiration=1,IF(#REF!&lt;VLOOKUP(M$5,NFI,5,0),1,0)*Table_NFI[[#This Row],[Tarpaulin]],Table_NFI[[#This Row],[Tarpaulin]])</f>
        <v>#REF!</v>
      </c>
      <c r="AE36" s="465" t="e">
        <f>IF(NFI_Expiration=1,IF(#REF!&lt;VLOOKUP(N$5,NFI,5,0),1,0)*Table_NFI[[#This Row],[Blanket]],Table_NFI[[#This Row],[Blanket]])</f>
        <v>#REF!</v>
      </c>
      <c r="AF36" s="465" t="e">
        <f>IF(NFI_Expiration=1,IF(#REF!&lt;VLOOKUP(O$5,NFI,5,0),1,0)*Table_NFI[[#This Row],[Kitchen Set]],Table_NFI[Kitchen Set])</f>
        <v>#REF!</v>
      </c>
      <c r="AG36" s="465" t="e">
        <f>IF(NFI_Expiration=1,IF(#REF!&lt;VLOOKUP(P$5,NFI,5,0),1,0)*Table_NFI[[#This Row],[Clothes Kit]],Table_NFI[Clothes Kit])</f>
        <v>#REF!</v>
      </c>
      <c r="AH36" s="465" t="e">
        <f>IF(NFI_Expiration=1,IF(#REF!&lt;VLOOKUP(Q$5,NFI,5,0),1,0)*Table_NFI[[#This Row],[Plastic Bucket]],Table_NFI[Plastic Bucket])</f>
        <v>#REF!</v>
      </c>
      <c r="AI36" s="465" t="e">
        <f>IF(NFI_Expiration=1,IF(#REF!&lt;VLOOKUP(R$5,NFI,5,0),1,0)*Table_NFI[[#This Row],[Plastic Mat]],Table_NFI[Plastic Mat])*IF(Table_NFI[[#This Row],[Distribution Date]]&gt;"2014-04-01",1,2.5)</f>
        <v>#REF!</v>
      </c>
      <c r="AJ36" s="465" t="e">
        <f>IF(NFI_Expiration=1,IF(#REF!&lt;VLOOKUP(S$5,NFI,5,0),1,0)*Table_NFI[[#This Row],[Winter Clothes Adult]],Table_NFI[Winter Clothes Adult])</f>
        <v>#REF!</v>
      </c>
      <c r="AK36" s="465" t="e">
        <f>IF(NFI_Expiration=1,IF(#REF!&lt;VLOOKUP(T$5,NFI,5,0),1,0)*Table_NFI[[#This Row],[Winter Clothes Children]],Table_NFI[Winter Clothes Children])</f>
        <v>#REF!</v>
      </c>
      <c r="AL36" s="465" t="e">
        <f>IF(NFI_Expiration=1,IF(#REF!&lt;VLOOKUP(U$5,NFI,5,0),1,0)*Table_NFI[[#This Row],[Winter Items Other]],Table_NFI[Winter Items Other])</f>
        <v>#REF!</v>
      </c>
      <c r="AM36" s="465" t="e">
        <f>IF(NFI_Expiration=1,IF(#REF!&lt;VLOOKUP(N$5,NFI,5,0),1,0)*Table_NFI[[#This Row],[Winter Blanket]],Table_NFI[[#This Row],[Winter Blanket]])</f>
        <v>#REF!</v>
      </c>
      <c r="AN36" s="465">
        <f>IF(Table_NFI[[#This Row],[Winter Clothes Adult]]+Table_NFI[[#This Row],[Winter Clothes Children]]+Table_NFI[[#This Row],[Winter Items Other]]+Table_NFI[[#This Row],[Winter Blanket]]&gt;0,1,0)</f>
        <v>0</v>
      </c>
      <c r="AO36" s="466" t="e">
        <f>IF(NFI_Expiration=1,IF(#REF!&lt;VLOOKUP(W$5,NFI,5,0),1,0)*Table_NFI[[#This Row],[Jerry Can]],Table_NFI[Jerry Can])</f>
        <v>#REF!</v>
      </c>
      <c r="AP36" s="466" t="e">
        <f>IF(NFI_Expiration=1,IF(#REF!&lt;VLOOKUP(W$5,NFI,5,0),1,0)*Table_NFI[[#This Row],[Shelter Tool kit]],Table_NFI[Shelter Tool kit])</f>
        <v>#REF!</v>
      </c>
      <c r="AQ36" s="466" t="e">
        <f>IF(NFI_Expiration=1,IF(#REF!&lt;VLOOKUP(W$5,NFI,5,0),1,0)*Table_NFI[[#This Row],[Tent]],Table_NFI[Tent])</f>
        <v>#REF!</v>
      </c>
      <c r="AR36" s="467" t="str">
        <f>IFERROR(VLOOKUP(Table_NFI[[#This Row],[Location]],CL,2,0),"")</f>
        <v>MMR015CMP248</v>
      </c>
      <c r="AS36" s="469" t="s">
        <v>1423</v>
      </c>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row>
    <row r="37" spans="2:117" s="231" customFormat="1" ht="16.149999999999999" customHeight="1" x14ac:dyDescent="0.25">
      <c r="B37" s="747">
        <v>42883</v>
      </c>
      <c r="C37" s="462" t="s">
        <v>1296</v>
      </c>
      <c r="D37" s="462"/>
      <c r="E37" s="462" t="s">
        <v>507</v>
      </c>
      <c r="F37" s="462" t="s">
        <v>146</v>
      </c>
      <c r="G37" s="127" t="s">
        <v>1157</v>
      </c>
      <c r="H37" s="127"/>
      <c r="I37" s="463"/>
      <c r="J37" s="463"/>
      <c r="K37" s="463"/>
      <c r="L37" s="463">
        <v>143</v>
      </c>
      <c r="M37" s="463">
        <v>62</v>
      </c>
      <c r="N37" s="463">
        <v>286</v>
      </c>
      <c r="O37" s="463">
        <v>143</v>
      </c>
      <c r="P37" s="463"/>
      <c r="Q37" s="463"/>
      <c r="R37" s="463">
        <v>143</v>
      </c>
      <c r="S37" s="463"/>
      <c r="T37" s="463"/>
      <c r="U37" s="463"/>
      <c r="V37" s="463"/>
      <c r="W37" s="464"/>
      <c r="X37" s="464"/>
      <c r="Y37" s="464"/>
      <c r="Z37" s="464"/>
      <c r="AA37" s="465" t="e">
        <f>IF(NFI_Expiration=1,IF(#REF!&lt;VLOOKUP(J$5,NFI,5,0),1,0)*Table_NFI[[#This Row],[NFI Core Kit]],Table_NFI[NFI Core Kit])</f>
        <v>#REF!</v>
      </c>
      <c r="AB37" s="465" t="e">
        <f>IF(NFI_Expiration=1,IF(#REF!&lt;VLOOKUP(K$5,NFI,5,0),1,0)*Table_NFI[[#This Row],[Sanitary Kit]],Table_NFI[Sanitary Kit])</f>
        <v>#REF!</v>
      </c>
      <c r="AC37" s="465" t="e">
        <f>IF(NFI_Expiration=1,IF(#REF!&lt;VLOOKUP(L$5,NFI,5,0),1,0)*Table_NFI[[#This Row],[Mosquito net]],Table_NFI[Mosquito net])</f>
        <v>#REF!</v>
      </c>
      <c r="AD37" s="465" t="e">
        <f>IF(NFI_Expiration=1,IF(#REF!&lt;VLOOKUP(M$5,NFI,5,0),1,0)*Table_NFI[[#This Row],[Tarpaulin]],Table_NFI[[#This Row],[Tarpaulin]])</f>
        <v>#REF!</v>
      </c>
      <c r="AE37" s="465" t="e">
        <f>IF(NFI_Expiration=1,IF(#REF!&lt;VLOOKUP(N$5,NFI,5,0),1,0)*Table_NFI[[#This Row],[Blanket]],Table_NFI[[#This Row],[Blanket]])</f>
        <v>#REF!</v>
      </c>
      <c r="AF37" s="465" t="e">
        <f>IF(NFI_Expiration=1,IF(#REF!&lt;VLOOKUP(O$5,NFI,5,0),1,0)*Table_NFI[[#This Row],[Kitchen Set]],Table_NFI[Kitchen Set])</f>
        <v>#REF!</v>
      </c>
      <c r="AG37" s="465" t="e">
        <f>IF(NFI_Expiration=1,IF(#REF!&lt;VLOOKUP(P$5,NFI,5,0),1,0)*Table_NFI[[#This Row],[Clothes Kit]],Table_NFI[Clothes Kit])</f>
        <v>#REF!</v>
      </c>
      <c r="AH37" s="465" t="e">
        <f>IF(NFI_Expiration=1,IF(#REF!&lt;VLOOKUP(Q$5,NFI,5,0),1,0)*Table_NFI[[#This Row],[Plastic Bucket]],Table_NFI[Plastic Bucket])</f>
        <v>#REF!</v>
      </c>
      <c r="AI37" s="465" t="e">
        <f>IF(NFI_Expiration=1,IF(#REF!&lt;VLOOKUP(R$5,NFI,5,0),1,0)*Table_NFI[[#This Row],[Plastic Mat]],Table_NFI[Plastic Mat])*IF(Table_NFI[[#This Row],[Distribution Date]]&gt;"2014-04-01",1,2.5)</f>
        <v>#REF!</v>
      </c>
      <c r="AJ37" s="465" t="e">
        <f>IF(NFI_Expiration=1,IF(#REF!&lt;VLOOKUP(S$5,NFI,5,0),1,0)*Table_NFI[[#This Row],[Winter Clothes Adult]],Table_NFI[Winter Clothes Adult])</f>
        <v>#REF!</v>
      </c>
      <c r="AK37" s="465" t="e">
        <f>IF(NFI_Expiration=1,IF(#REF!&lt;VLOOKUP(T$5,NFI,5,0),1,0)*Table_NFI[[#This Row],[Winter Clothes Children]],Table_NFI[Winter Clothes Children])</f>
        <v>#REF!</v>
      </c>
      <c r="AL37" s="465" t="e">
        <f>IF(NFI_Expiration=1,IF(#REF!&lt;VLOOKUP(U$5,NFI,5,0),1,0)*Table_NFI[[#This Row],[Winter Items Other]],Table_NFI[Winter Items Other])</f>
        <v>#REF!</v>
      </c>
      <c r="AM37" s="465" t="e">
        <f>IF(NFI_Expiration=1,IF(#REF!&lt;VLOOKUP(N$5,NFI,5,0),1,0)*Table_NFI[[#This Row],[Winter Blanket]],Table_NFI[[#This Row],[Winter Blanket]])</f>
        <v>#REF!</v>
      </c>
      <c r="AN37" s="465">
        <f>IF(Table_NFI[[#This Row],[Winter Clothes Adult]]+Table_NFI[[#This Row],[Winter Clothes Children]]+Table_NFI[[#This Row],[Winter Items Other]]+Table_NFI[[#This Row],[Winter Blanket]]&gt;0,1,0)</f>
        <v>0</v>
      </c>
      <c r="AO37" s="466" t="e">
        <f>IF(NFI_Expiration=1,IF(#REF!&lt;VLOOKUP(W$5,NFI,5,0),1,0)*Table_NFI[[#This Row],[Jerry Can]],Table_NFI[Jerry Can])</f>
        <v>#REF!</v>
      </c>
      <c r="AP37" s="466" t="e">
        <f>IF(NFI_Expiration=1,IF(#REF!&lt;VLOOKUP(W$5,NFI,5,0),1,0)*Table_NFI[[#This Row],[Shelter Tool kit]],Table_NFI[Shelter Tool kit])</f>
        <v>#REF!</v>
      </c>
      <c r="AQ37" s="466" t="e">
        <f>IF(NFI_Expiration=1,IF(#REF!&lt;VLOOKUP(W$5,NFI,5,0),1,0)*Table_NFI[[#This Row],[Tent]],Table_NFI[Tent])</f>
        <v>#REF!</v>
      </c>
      <c r="AR37" s="467" t="str">
        <f>IFERROR(VLOOKUP(Table_NFI[[#This Row],[Location]],CL,2,0),"")</f>
        <v>MMR015CMP220</v>
      </c>
      <c r="AS37" s="469" t="s">
        <v>1423</v>
      </c>
      <c r="AT37" s="391"/>
      <c r="AU37" s="391"/>
      <c r="AV37" s="391"/>
      <c r="AW37" s="391"/>
      <c r="AX37" s="391"/>
      <c r="AY37" s="391"/>
      <c r="AZ37" s="391"/>
      <c r="BA37" s="391"/>
      <c r="BB37" s="391"/>
      <c r="BC37" s="391"/>
      <c r="BD37" s="391"/>
      <c r="BE37" s="391"/>
      <c r="BF37" s="391"/>
      <c r="BG37" s="391"/>
      <c r="BH37" s="391"/>
      <c r="BI37" s="391"/>
      <c r="BJ37" s="391"/>
      <c r="BK37" s="391"/>
      <c r="BL37" s="391"/>
      <c r="BM37" s="391"/>
      <c r="BN37" s="391"/>
      <c r="BO37" s="391"/>
      <c r="BP37" s="391"/>
      <c r="BQ37" s="391"/>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c r="CU37" s="391"/>
      <c r="CV37" s="391"/>
      <c r="CW37" s="391"/>
      <c r="CX37" s="391"/>
      <c r="CY37" s="391"/>
      <c r="CZ37" s="391"/>
      <c r="DA37" s="391"/>
      <c r="DB37" s="391"/>
      <c r="DC37" s="391"/>
      <c r="DD37" s="391"/>
      <c r="DE37" s="391"/>
      <c r="DF37" s="391"/>
      <c r="DG37" s="391"/>
      <c r="DH37" s="391"/>
      <c r="DI37" s="391"/>
      <c r="DJ37" s="391"/>
      <c r="DK37" s="391"/>
      <c r="DL37" s="391"/>
      <c r="DM37" s="391"/>
    </row>
    <row r="38" spans="2:117" s="224" customFormat="1" ht="15" customHeight="1" x14ac:dyDescent="0.25">
      <c r="B38" s="747">
        <v>42882</v>
      </c>
      <c r="C38" s="462" t="s">
        <v>1296</v>
      </c>
      <c r="D38" s="462"/>
      <c r="E38" s="462" t="s">
        <v>507</v>
      </c>
      <c r="F38" s="462" t="s">
        <v>146</v>
      </c>
      <c r="G38" s="127" t="s">
        <v>1273</v>
      </c>
      <c r="H38" s="127"/>
      <c r="I38" s="463"/>
      <c r="J38" s="463"/>
      <c r="K38" s="463"/>
      <c r="L38" s="463">
        <v>24</v>
      </c>
      <c r="M38" s="463">
        <v>9</v>
      </c>
      <c r="N38" s="463">
        <v>48</v>
      </c>
      <c r="O38" s="463">
        <v>24</v>
      </c>
      <c r="P38" s="463"/>
      <c r="Q38" s="463"/>
      <c r="R38" s="463">
        <v>24</v>
      </c>
      <c r="S38" s="463"/>
      <c r="T38" s="463"/>
      <c r="U38" s="463"/>
      <c r="V38" s="463"/>
      <c r="W38" s="464"/>
      <c r="X38" s="464"/>
      <c r="Y38" s="463"/>
      <c r="Z38" s="463"/>
      <c r="AA38" s="465" t="e">
        <f>IF(NFI_Expiration=1,IF(#REF!&lt;VLOOKUP(J$5,NFI,5,0),1,0)*Table_NFI[[#This Row],[NFI Core Kit]],Table_NFI[NFI Core Kit])</f>
        <v>#REF!</v>
      </c>
      <c r="AB38" s="465" t="e">
        <f>IF(NFI_Expiration=1,IF(#REF!&lt;VLOOKUP(K$5,NFI,5,0),1,0)*Table_NFI[[#This Row],[Sanitary Kit]],Table_NFI[Sanitary Kit])</f>
        <v>#REF!</v>
      </c>
      <c r="AC38" s="465" t="e">
        <f>IF(NFI_Expiration=1,IF(#REF!&lt;VLOOKUP(L$5,NFI,5,0),1,0)*Table_NFI[[#This Row],[Mosquito net]],Table_NFI[Mosquito net])</f>
        <v>#REF!</v>
      </c>
      <c r="AD38" s="465" t="e">
        <f>IF(NFI_Expiration=1,IF(#REF!&lt;VLOOKUP(M$5,NFI,5,0),1,0)*Table_NFI[[#This Row],[Tarpaulin]],Table_NFI[[#This Row],[Tarpaulin]])</f>
        <v>#REF!</v>
      </c>
      <c r="AE38" s="465" t="e">
        <f>IF(NFI_Expiration=1,IF(#REF!&lt;VLOOKUP(N$5,NFI,5,0),1,0)*Table_NFI[[#This Row],[Blanket]],Table_NFI[[#This Row],[Blanket]])</f>
        <v>#REF!</v>
      </c>
      <c r="AF38" s="465" t="e">
        <f>IF(NFI_Expiration=1,IF(#REF!&lt;VLOOKUP(O$5,NFI,5,0),1,0)*Table_NFI[[#This Row],[Kitchen Set]],Table_NFI[Kitchen Set])</f>
        <v>#REF!</v>
      </c>
      <c r="AG38" s="465" t="e">
        <f>IF(NFI_Expiration=1,IF(#REF!&lt;VLOOKUP(P$5,NFI,5,0),1,0)*Table_NFI[[#This Row],[Clothes Kit]],Table_NFI[Clothes Kit])</f>
        <v>#REF!</v>
      </c>
      <c r="AH38" s="465" t="e">
        <f>IF(NFI_Expiration=1,IF(#REF!&lt;VLOOKUP(Q$5,NFI,5,0),1,0)*Table_NFI[[#This Row],[Plastic Bucket]],Table_NFI[Plastic Bucket])</f>
        <v>#REF!</v>
      </c>
      <c r="AI38" s="465" t="e">
        <f>IF(NFI_Expiration=1,IF(#REF!&lt;VLOOKUP(R$5,NFI,5,0),1,0)*Table_NFI[[#This Row],[Plastic Mat]],Table_NFI[Plastic Mat])*IF(Table_NFI[[#This Row],[Distribution Date]]&gt;"2014-04-01",1,2.5)</f>
        <v>#REF!</v>
      </c>
      <c r="AJ38" s="465" t="e">
        <f>IF(NFI_Expiration=1,IF(#REF!&lt;VLOOKUP(S$5,NFI,5,0),1,0)*Table_NFI[[#This Row],[Winter Clothes Adult]],Table_NFI[Winter Clothes Adult])</f>
        <v>#REF!</v>
      </c>
      <c r="AK38" s="465" t="e">
        <f>IF(NFI_Expiration=1,IF(#REF!&lt;VLOOKUP(T$5,NFI,5,0),1,0)*Table_NFI[[#This Row],[Winter Clothes Children]],Table_NFI[Winter Clothes Children])</f>
        <v>#REF!</v>
      </c>
      <c r="AL38" s="465" t="e">
        <f>IF(NFI_Expiration=1,IF(#REF!&lt;VLOOKUP(U$5,NFI,5,0),1,0)*Table_NFI[[#This Row],[Winter Items Other]],Table_NFI[Winter Items Other])</f>
        <v>#REF!</v>
      </c>
      <c r="AM38" s="465" t="e">
        <f>IF(NFI_Expiration=1,IF(#REF!&lt;VLOOKUP(N$5,NFI,5,0),1,0)*Table_NFI[[#This Row],[Winter Blanket]],Table_NFI[[#This Row],[Winter Blanket]])</f>
        <v>#REF!</v>
      </c>
      <c r="AN38" s="465">
        <f>IF(Table_NFI[[#This Row],[Winter Clothes Adult]]+Table_NFI[[#This Row],[Winter Clothes Children]]+Table_NFI[[#This Row],[Winter Items Other]]+Table_NFI[[#This Row],[Winter Blanket]]&gt;0,1,0)</f>
        <v>0</v>
      </c>
      <c r="AO38" s="466" t="e">
        <f>IF(NFI_Expiration=1,IF(#REF!&lt;VLOOKUP(W$5,NFI,5,0),1,0)*Table_NFI[[#This Row],[Jerry Can]],Table_NFI[Jerry Can])</f>
        <v>#REF!</v>
      </c>
      <c r="AP38" s="466" t="e">
        <f>IF(NFI_Expiration=1,IF(#REF!&lt;VLOOKUP(W$5,NFI,5,0),1,0)*Table_NFI[[#This Row],[Shelter Tool kit]],Table_NFI[Shelter Tool kit])</f>
        <v>#REF!</v>
      </c>
      <c r="AQ38" s="466" t="e">
        <f>IF(NFI_Expiration=1,IF(#REF!&lt;VLOOKUP(W$5,NFI,5,0),1,0)*Table_NFI[[#This Row],[Tent]],Table_NFI[Tent])</f>
        <v>#REF!</v>
      </c>
      <c r="AR38" s="467" t="str">
        <f>IFERROR(VLOOKUP(Table_NFI[[#This Row],[Location]],CL,2,0),"")</f>
        <v>MMR015CMP246</v>
      </c>
      <c r="AS38" s="469" t="s">
        <v>1423</v>
      </c>
    </row>
    <row r="39" spans="2:117" s="224" customFormat="1" ht="15" customHeight="1" x14ac:dyDescent="0.25">
      <c r="B39" s="747">
        <v>42882</v>
      </c>
      <c r="C39" s="462" t="s">
        <v>1296</v>
      </c>
      <c r="D39" s="462"/>
      <c r="E39" s="218" t="s">
        <v>507</v>
      </c>
      <c r="F39" s="218" t="s">
        <v>146</v>
      </c>
      <c r="G39" s="127" t="s">
        <v>1263</v>
      </c>
      <c r="H39" s="214"/>
      <c r="I39" s="126"/>
      <c r="J39" s="126"/>
      <c r="K39" s="126"/>
      <c r="L39" s="126"/>
      <c r="M39" s="126">
        <v>24</v>
      </c>
      <c r="N39" s="126"/>
      <c r="O39" s="126"/>
      <c r="P39" s="126"/>
      <c r="Q39" s="126"/>
      <c r="R39" s="126"/>
      <c r="S39" s="126"/>
      <c r="T39" s="126"/>
      <c r="U39" s="126"/>
      <c r="V39" s="126"/>
      <c r="W39" s="408"/>
      <c r="X39" s="408"/>
      <c r="Y39" s="408"/>
      <c r="Z39" s="408"/>
      <c r="AA39" s="128" t="e">
        <f>IF(NFI_Expiration=1,IF(#REF!&lt;VLOOKUP(J$5,NFI,5,0),1,0)*Table_NFI[[#This Row],[NFI Core Kit]],Table_NFI[NFI Core Kit])</f>
        <v>#REF!</v>
      </c>
      <c r="AB39" s="128" t="e">
        <f>IF(NFI_Expiration=1,IF(#REF!&lt;VLOOKUP(K$5,NFI,5,0),1,0)*Table_NFI[[#This Row],[Sanitary Kit]],Table_NFI[Sanitary Kit])</f>
        <v>#REF!</v>
      </c>
      <c r="AC39" s="128" t="e">
        <f>IF(NFI_Expiration=1,IF(#REF!&lt;VLOOKUP(L$5,NFI,5,0),1,0)*Table_NFI[[#This Row],[Mosquito net]],Table_NFI[Mosquito net])</f>
        <v>#REF!</v>
      </c>
      <c r="AD39" s="128" t="e">
        <f>IF(NFI_Expiration=1,IF(#REF!&lt;VLOOKUP(M$5,NFI,5,0),1,0)*Table_NFI[[#This Row],[Tarpaulin]],Table_NFI[[#This Row],[Tarpaulin]])</f>
        <v>#REF!</v>
      </c>
      <c r="AE39" s="128" t="e">
        <f>IF(NFI_Expiration=1,IF(#REF!&lt;VLOOKUP(N$5,NFI,5,0),1,0)*Table_NFI[[#This Row],[Blanket]],Table_NFI[[#This Row],[Blanket]])</f>
        <v>#REF!</v>
      </c>
      <c r="AF39" s="128" t="e">
        <f>IF(NFI_Expiration=1,IF(#REF!&lt;VLOOKUP(O$5,NFI,5,0),1,0)*Table_NFI[[#This Row],[Kitchen Set]],Table_NFI[Kitchen Set])</f>
        <v>#REF!</v>
      </c>
      <c r="AG39" s="128" t="e">
        <f>IF(NFI_Expiration=1,IF(#REF!&lt;VLOOKUP(P$5,NFI,5,0),1,0)*Table_NFI[[#This Row],[Clothes Kit]],Table_NFI[Clothes Kit])</f>
        <v>#REF!</v>
      </c>
      <c r="AH39" s="128" t="e">
        <f>IF(NFI_Expiration=1,IF(#REF!&lt;VLOOKUP(Q$5,NFI,5,0),1,0)*Table_NFI[[#This Row],[Plastic Bucket]],Table_NFI[Plastic Bucket])</f>
        <v>#REF!</v>
      </c>
      <c r="AI39" s="128" t="e">
        <f>IF(NFI_Expiration=1,IF(#REF!&lt;VLOOKUP(R$5,NFI,5,0),1,0)*Table_NFI[[#This Row],[Plastic Mat]],Table_NFI[Plastic Mat])*IF(Table_NFI[[#This Row],[Distribution Date]]&gt;"2014-04-01",1,2.5)</f>
        <v>#REF!</v>
      </c>
      <c r="AJ39" s="128" t="e">
        <f>IF(NFI_Expiration=1,IF(#REF!&lt;VLOOKUP(S$5,NFI,5,0),1,0)*Table_NFI[[#This Row],[Winter Clothes Adult]],Table_NFI[Winter Clothes Adult])</f>
        <v>#REF!</v>
      </c>
      <c r="AK39" s="128" t="e">
        <f>IF(NFI_Expiration=1,IF(#REF!&lt;VLOOKUP(T$5,NFI,5,0),1,0)*Table_NFI[[#This Row],[Winter Clothes Children]],Table_NFI[Winter Clothes Children])</f>
        <v>#REF!</v>
      </c>
      <c r="AL39" s="128" t="e">
        <f>IF(NFI_Expiration=1,IF(#REF!&lt;VLOOKUP(U$5,NFI,5,0),1,0)*Table_NFI[[#This Row],[Winter Items Other]],Table_NFI[Winter Items Other])</f>
        <v>#REF!</v>
      </c>
      <c r="AM39" s="128" t="e">
        <f>IF(NFI_Expiration=1,IF(#REF!&lt;VLOOKUP(N$5,NFI,5,0),1,0)*Table_NFI[[#This Row],[Winter Blanket]],Table_NFI[[#This Row],[Winter Blanket]])</f>
        <v>#REF!</v>
      </c>
      <c r="AN39" s="128">
        <f>IF(Table_NFI[[#This Row],[Winter Clothes Adult]]+Table_NFI[[#This Row],[Winter Clothes Children]]+Table_NFI[[#This Row],[Winter Items Other]]+Table_NFI[[#This Row],[Winter Blanket]]&gt;0,1,0)</f>
        <v>0</v>
      </c>
      <c r="AO39" s="146" t="e">
        <f>IF(NFI_Expiration=1,IF(#REF!&lt;VLOOKUP(W$5,NFI,5,0),1,0)*Table_NFI[[#This Row],[Jerry Can]],Table_NFI[Jerry Can])</f>
        <v>#REF!</v>
      </c>
      <c r="AP39" s="146" t="e">
        <f>IF(NFI_Expiration=1,IF(#REF!&lt;VLOOKUP(W$5,NFI,5,0),1,0)*Table_NFI[[#This Row],[Shelter Tool kit]],Table_NFI[Shelter Tool kit])</f>
        <v>#REF!</v>
      </c>
      <c r="AQ39" s="146" t="e">
        <f>IF(NFI_Expiration=1,IF(#REF!&lt;VLOOKUP(W$5,NFI,5,0),1,0)*Table_NFI[[#This Row],[Tent]],Table_NFI[Tent])</f>
        <v>#REF!</v>
      </c>
      <c r="AR39" s="220" t="str">
        <f>IFERROR(VLOOKUP(Table_NFI[[#This Row],[Location]],CL,2,0),"")</f>
        <v>MMR015CMP245</v>
      </c>
      <c r="AS39" s="216"/>
    </row>
    <row r="40" spans="2:117" s="224" customFormat="1" ht="15" customHeight="1" x14ac:dyDescent="0.25">
      <c r="B40" s="747">
        <v>42881</v>
      </c>
      <c r="C40" s="214" t="s">
        <v>1296</v>
      </c>
      <c r="D40" s="215"/>
      <c r="E40" s="214" t="s">
        <v>507</v>
      </c>
      <c r="F40" s="127" t="s">
        <v>146</v>
      </c>
      <c r="G40" s="127" t="s">
        <v>1263</v>
      </c>
      <c r="H40" s="127"/>
      <c r="I40" s="463"/>
      <c r="J40" s="463"/>
      <c r="K40" s="463"/>
      <c r="L40" s="463">
        <v>46</v>
      </c>
      <c r="M40" s="463">
        <v>12</v>
      </c>
      <c r="N40" s="463">
        <v>92</v>
      </c>
      <c r="O40" s="463">
        <v>46</v>
      </c>
      <c r="P40" s="463"/>
      <c r="Q40" s="463"/>
      <c r="R40" s="463">
        <v>46</v>
      </c>
      <c r="S40" s="463"/>
      <c r="T40" s="463"/>
      <c r="U40" s="463"/>
      <c r="V40" s="463"/>
      <c r="W40" s="464"/>
      <c r="X40" s="464"/>
      <c r="Y40" s="463"/>
      <c r="Z40" s="463"/>
      <c r="AA40" s="465" t="e">
        <f>IF(NFI_Expiration=1,IF(#REF!&lt;VLOOKUP(J$5,NFI,5,0),1,0)*Table_NFI[[#This Row],[NFI Core Kit]],Table_NFI[NFI Core Kit])</f>
        <v>#REF!</v>
      </c>
      <c r="AB40" s="465" t="e">
        <f>IF(NFI_Expiration=1,IF(#REF!&lt;VLOOKUP(K$5,NFI,5,0),1,0)*Table_NFI[[#This Row],[Sanitary Kit]],Table_NFI[Sanitary Kit])</f>
        <v>#REF!</v>
      </c>
      <c r="AC40" s="465" t="e">
        <f>IF(NFI_Expiration=1,IF(#REF!&lt;VLOOKUP(L$5,NFI,5,0),1,0)*Table_NFI[[#This Row],[Mosquito net]],Table_NFI[Mosquito net])</f>
        <v>#REF!</v>
      </c>
      <c r="AD40" s="465" t="e">
        <f>IF(NFI_Expiration=1,IF(#REF!&lt;VLOOKUP(M$5,NFI,5,0),1,0)*Table_NFI[[#This Row],[Tarpaulin]],Table_NFI[[#This Row],[Tarpaulin]])</f>
        <v>#REF!</v>
      </c>
      <c r="AE40" s="465" t="e">
        <f>IF(NFI_Expiration=1,IF(#REF!&lt;VLOOKUP(N$5,NFI,5,0),1,0)*Table_NFI[[#This Row],[Blanket]],Table_NFI[[#This Row],[Blanket]])</f>
        <v>#REF!</v>
      </c>
      <c r="AF40" s="465" t="e">
        <f>IF(NFI_Expiration=1,IF(#REF!&lt;VLOOKUP(O$5,NFI,5,0),1,0)*Table_NFI[[#This Row],[Kitchen Set]],Table_NFI[Kitchen Set])</f>
        <v>#REF!</v>
      </c>
      <c r="AG40" s="465" t="e">
        <f>IF(NFI_Expiration=1,IF(#REF!&lt;VLOOKUP(P$5,NFI,5,0),1,0)*Table_NFI[[#This Row],[Clothes Kit]],Table_NFI[Clothes Kit])</f>
        <v>#REF!</v>
      </c>
      <c r="AH40" s="465" t="e">
        <f>IF(NFI_Expiration=1,IF(#REF!&lt;VLOOKUP(Q$5,NFI,5,0),1,0)*Table_NFI[[#This Row],[Plastic Bucket]],Table_NFI[Plastic Bucket])</f>
        <v>#REF!</v>
      </c>
      <c r="AI40" s="465" t="e">
        <f>IF(NFI_Expiration=1,IF(#REF!&lt;VLOOKUP(R$5,NFI,5,0),1,0)*Table_NFI[[#This Row],[Plastic Mat]],Table_NFI[Plastic Mat])*IF(Table_NFI[[#This Row],[Distribution Date]]&gt;"2014-04-01",1,2.5)</f>
        <v>#REF!</v>
      </c>
      <c r="AJ40" s="465" t="e">
        <f>IF(NFI_Expiration=1,IF(#REF!&lt;VLOOKUP(S$5,NFI,5,0),1,0)*Table_NFI[[#This Row],[Winter Clothes Adult]],Table_NFI[Winter Clothes Adult])</f>
        <v>#REF!</v>
      </c>
      <c r="AK40" s="465" t="e">
        <f>IF(NFI_Expiration=1,IF(#REF!&lt;VLOOKUP(T$5,NFI,5,0),1,0)*Table_NFI[[#This Row],[Winter Clothes Children]],Table_NFI[Winter Clothes Children])</f>
        <v>#REF!</v>
      </c>
      <c r="AL40" s="465" t="e">
        <f>IF(NFI_Expiration=1,IF(#REF!&lt;VLOOKUP(U$5,NFI,5,0),1,0)*Table_NFI[[#This Row],[Winter Items Other]],Table_NFI[Winter Items Other])</f>
        <v>#REF!</v>
      </c>
      <c r="AM40" s="465" t="e">
        <f>IF(NFI_Expiration=1,IF(#REF!&lt;VLOOKUP(N$5,NFI,5,0),1,0)*Table_NFI[[#This Row],[Winter Blanket]],Table_NFI[[#This Row],[Winter Blanket]])</f>
        <v>#REF!</v>
      </c>
      <c r="AN40" s="465">
        <f>IF(Table_NFI[[#This Row],[Winter Clothes Adult]]+Table_NFI[[#This Row],[Winter Clothes Children]]+Table_NFI[[#This Row],[Winter Items Other]]+Table_NFI[[#This Row],[Winter Blanket]]&gt;0,1,0)</f>
        <v>0</v>
      </c>
      <c r="AO40" s="466" t="e">
        <f>IF(NFI_Expiration=1,IF(#REF!&lt;VLOOKUP(W$5,NFI,5,0),1,0)*Table_NFI[[#This Row],[Jerry Can]],Table_NFI[Jerry Can])</f>
        <v>#REF!</v>
      </c>
      <c r="AP40" s="466" t="e">
        <f>IF(NFI_Expiration=1,IF(#REF!&lt;VLOOKUP(W$5,NFI,5,0),1,0)*Table_NFI[[#This Row],[Shelter Tool kit]],Table_NFI[Shelter Tool kit])</f>
        <v>#REF!</v>
      </c>
      <c r="AQ40" s="466" t="e">
        <f>IF(NFI_Expiration=1,IF(#REF!&lt;VLOOKUP(W$5,NFI,5,0),1,0)*Table_NFI[[#This Row],[Tent]],Table_NFI[Tent])</f>
        <v>#REF!</v>
      </c>
      <c r="AR40" s="467" t="str">
        <f>IFERROR(VLOOKUP(Table_NFI[[#This Row],[Location]],CL,2,0),"")</f>
        <v>MMR015CMP245</v>
      </c>
      <c r="AS40" s="469" t="s">
        <v>1423</v>
      </c>
    </row>
    <row r="41" spans="2:117" s="224" customFormat="1" ht="15" customHeight="1" x14ac:dyDescent="0.25">
      <c r="B41" s="748">
        <v>42867</v>
      </c>
      <c r="C41" s="214" t="s">
        <v>1296</v>
      </c>
      <c r="D41" s="215"/>
      <c r="E41" s="214" t="s">
        <v>378</v>
      </c>
      <c r="F41" s="127" t="s">
        <v>151</v>
      </c>
      <c r="G41" s="127" t="s">
        <v>803</v>
      </c>
      <c r="H41" s="214"/>
      <c r="I41" s="126"/>
      <c r="J41" s="126"/>
      <c r="K41" s="126"/>
      <c r="L41" s="126"/>
      <c r="M41" s="126"/>
      <c r="N41" s="126">
        <v>350</v>
      </c>
      <c r="O41" s="126">
        <v>38</v>
      </c>
      <c r="P41" s="126"/>
      <c r="Q41" s="126"/>
      <c r="R41" s="126">
        <v>175</v>
      </c>
      <c r="S41" s="126"/>
      <c r="T41" s="126"/>
      <c r="U41" s="126"/>
      <c r="V41" s="126"/>
      <c r="W41" s="408"/>
      <c r="X41" s="408"/>
      <c r="Y41" s="408"/>
      <c r="Z41" s="408"/>
      <c r="AA41" s="128" t="e">
        <f>IF(NFI_Expiration=1,IF(#REF!&lt;VLOOKUP(J$5,NFI,5,0),1,0)*Table_NFI[[#This Row],[NFI Core Kit]],Table_NFI[NFI Core Kit])</f>
        <v>#REF!</v>
      </c>
      <c r="AB41" s="128" t="e">
        <f>IF(NFI_Expiration=1,IF(#REF!&lt;VLOOKUP(K$5,NFI,5,0),1,0)*Table_NFI[[#This Row],[Sanitary Kit]],Table_NFI[Sanitary Kit])</f>
        <v>#REF!</v>
      </c>
      <c r="AC41" s="128" t="e">
        <f>IF(NFI_Expiration=1,IF(#REF!&lt;VLOOKUP(L$5,NFI,5,0),1,0)*Table_NFI[[#This Row],[Mosquito net]],Table_NFI[Mosquito net])</f>
        <v>#REF!</v>
      </c>
      <c r="AD41" s="128" t="e">
        <f>IF(NFI_Expiration=1,IF(#REF!&lt;VLOOKUP(M$5,NFI,5,0),1,0)*Table_NFI[[#This Row],[Tarpaulin]],Table_NFI[[#This Row],[Tarpaulin]])</f>
        <v>#REF!</v>
      </c>
      <c r="AE41" s="128" t="e">
        <f>IF(NFI_Expiration=1,IF(#REF!&lt;VLOOKUP(N$5,NFI,5,0),1,0)*Table_NFI[[#This Row],[Blanket]],Table_NFI[[#This Row],[Blanket]])</f>
        <v>#REF!</v>
      </c>
      <c r="AF41" s="128" t="e">
        <f>IF(NFI_Expiration=1,IF(#REF!&lt;VLOOKUP(O$5,NFI,5,0),1,0)*Table_NFI[[#This Row],[Kitchen Set]],Table_NFI[Kitchen Set])</f>
        <v>#REF!</v>
      </c>
      <c r="AG41" s="128" t="e">
        <f>IF(NFI_Expiration=1,IF(#REF!&lt;VLOOKUP(P$5,NFI,5,0),1,0)*Table_NFI[[#This Row],[Clothes Kit]],Table_NFI[Clothes Kit])</f>
        <v>#REF!</v>
      </c>
      <c r="AH41" s="128" t="e">
        <f>IF(NFI_Expiration=1,IF(#REF!&lt;VLOOKUP(Q$5,NFI,5,0),1,0)*Table_NFI[[#This Row],[Plastic Bucket]],Table_NFI[Plastic Bucket])</f>
        <v>#REF!</v>
      </c>
      <c r="AI41" s="128" t="e">
        <f>IF(NFI_Expiration=1,IF(#REF!&lt;VLOOKUP(R$5,NFI,5,0),1,0)*Table_NFI[[#This Row],[Plastic Mat]],Table_NFI[Plastic Mat])*IF(Table_NFI[[#This Row],[Distribution Date]]&gt;"2014-04-01",1,2.5)</f>
        <v>#REF!</v>
      </c>
      <c r="AJ41" s="128" t="e">
        <f>IF(NFI_Expiration=1,IF(#REF!&lt;VLOOKUP(S$5,NFI,5,0),1,0)*Table_NFI[[#This Row],[Winter Clothes Adult]],Table_NFI[Winter Clothes Adult])</f>
        <v>#REF!</v>
      </c>
      <c r="AK41" s="128" t="e">
        <f>IF(NFI_Expiration=1,IF(#REF!&lt;VLOOKUP(T$5,NFI,5,0),1,0)*Table_NFI[[#This Row],[Winter Clothes Children]],Table_NFI[Winter Clothes Children])</f>
        <v>#REF!</v>
      </c>
      <c r="AL41" s="128" t="e">
        <f>IF(NFI_Expiration=1,IF(#REF!&lt;VLOOKUP(U$5,NFI,5,0),1,0)*Table_NFI[[#This Row],[Winter Items Other]],Table_NFI[Winter Items Other])</f>
        <v>#REF!</v>
      </c>
      <c r="AM41" s="128" t="e">
        <f>IF(NFI_Expiration=1,IF(#REF!&lt;VLOOKUP(N$5,NFI,5,0),1,0)*Table_NFI[[#This Row],[Winter Blanket]],Table_NFI[[#This Row],[Winter Blanket]])</f>
        <v>#REF!</v>
      </c>
      <c r="AN41" s="128">
        <f>IF(Table_NFI[[#This Row],[Winter Clothes Adult]]+Table_NFI[[#This Row],[Winter Clothes Children]]+Table_NFI[[#This Row],[Winter Items Other]]+Table_NFI[[#This Row],[Winter Blanket]]&gt;0,1,0)</f>
        <v>0</v>
      </c>
      <c r="AO41" s="146" t="e">
        <f>IF(NFI_Expiration=1,IF(#REF!&lt;VLOOKUP(W$5,NFI,5,0),1,0)*Table_NFI[[#This Row],[Jerry Can]],Table_NFI[Jerry Can])</f>
        <v>#REF!</v>
      </c>
      <c r="AP41" s="146" t="e">
        <f>IF(NFI_Expiration=1,IF(#REF!&lt;VLOOKUP(W$5,NFI,5,0),1,0)*Table_NFI[[#This Row],[Shelter Tool kit]],Table_NFI[Shelter Tool kit])</f>
        <v>#REF!</v>
      </c>
      <c r="AQ41" s="146" t="e">
        <f>IF(NFI_Expiration=1,IF(#REF!&lt;VLOOKUP(W$5,NFI,5,0),1,0)*Table_NFI[[#This Row],[Tent]],Table_NFI[Tent])</f>
        <v>#REF!</v>
      </c>
      <c r="AR41" s="220" t="str">
        <f>IFERROR(VLOOKUP(Table_NFI[[#This Row],[Location]],CL,2,0),"")</f>
        <v>MMR001CMP213</v>
      </c>
      <c r="AS41" s="216"/>
    </row>
    <row r="42" spans="2:117" s="224" customFormat="1" ht="15" customHeight="1" x14ac:dyDescent="0.25">
      <c r="B42" s="747">
        <v>42880</v>
      </c>
      <c r="C42" s="214" t="s">
        <v>1296</v>
      </c>
      <c r="D42" s="214"/>
      <c r="E42" s="214" t="s">
        <v>507</v>
      </c>
      <c r="F42" s="214" t="s">
        <v>720</v>
      </c>
      <c r="G42" s="214" t="s">
        <v>1078</v>
      </c>
      <c r="H42" s="214"/>
      <c r="I42" s="463"/>
      <c r="J42" s="463"/>
      <c r="K42" s="463"/>
      <c r="L42" s="463">
        <v>57</v>
      </c>
      <c r="M42" s="463"/>
      <c r="N42" s="463"/>
      <c r="O42" s="463">
        <v>57</v>
      </c>
      <c r="P42" s="463"/>
      <c r="Q42" s="463"/>
      <c r="R42" s="463">
        <v>57</v>
      </c>
      <c r="S42" s="463"/>
      <c r="T42" s="463"/>
      <c r="U42" s="463"/>
      <c r="V42" s="463"/>
      <c r="W42" s="464"/>
      <c r="X42" s="464"/>
      <c r="Y42" s="463"/>
      <c r="Z42" s="463"/>
      <c r="AA42" s="465" t="e">
        <f>IF(NFI_Expiration=1,IF(#REF!&lt;VLOOKUP(J$5,NFI,5,0),1,0)*Table_NFI[[#This Row],[NFI Core Kit]],Table_NFI[NFI Core Kit])</f>
        <v>#REF!</v>
      </c>
      <c r="AB42" s="465" t="e">
        <f>IF(NFI_Expiration=1,IF(#REF!&lt;VLOOKUP(K$5,NFI,5,0),1,0)*Table_NFI[[#This Row],[Sanitary Kit]],Table_NFI[Sanitary Kit])</f>
        <v>#REF!</v>
      </c>
      <c r="AC42" s="465" t="e">
        <f>IF(NFI_Expiration=1,IF(#REF!&lt;VLOOKUP(L$5,NFI,5,0),1,0)*Table_NFI[[#This Row],[Mosquito net]],Table_NFI[Mosquito net])</f>
        <v>#REF!</v>
      </c>
      <c r="AD42" s="465" t="e">
        <f>IF(NFI_Expiration=1,IF(#REF!&lt;VLOOKUP(M$5,NFI,5,0),1,0)*Table_NFI[[#This Row],[Tarpaulin]],Table_NFI[[#This Row],[Tarpaulin]])</f>
        <v>#REF!</v>
      </c>
      <c r="AE42" s="465" t="e">
        <f>IF(NFI_Expiration=1,IF(#REF!&lt;VLOOKUP(N$5,NFI,5,0),1,0)*Table_NFI[[#This Row],[Blanket]],Table_NFI[[#This Row],[Blanket]])</f>
        <v>#REF!</v>
      </c>
      <c r="AF42" s="465" t="e">
        <f>IF(NFI_Expiration=1,IF(#REF!&lt;VLOOKUP(O$5,NFI,5,0),1,0)*Table_NFI[[#This Row],[Kitchen Set]],Table_NFI[Kitchen Set])</f>
        <v>#REF!</v>
      </c>
      <c r="AG42" s="465" t="e">
        <f>IF(NFI_Expiration=1,IF(#REF!&lt;VLOOKUP(P$5,NFI,5,0),1,0)*Table_NFI[[#This Row],[Clothes Kit]],Table_NFI[Clothes Kit])</f>
        <v>#REF!</v>
      </c>
      <c r="AH42" s="465" t="e">
        <f>IF(NFI_Expiration=1,IF(#REF!&lt;VLOOKUP(Q$5,NFI,5,0),1,0)*Table_NFI[[#This Row],[Plastic Bucket]],Table_NFI[Plastic Bucket])</f>
        <v>#REF!</v>
      </c>
      <c r="AI42" s="465" t="e">
        <f>IF(NFI_Expiration=1,IF(#REF!&lt;VLOOKUP(R$5,NFI,5,0),1,0)*Table_NFI[[#This Row],[Plastic Mat]],Table_NFI[Plastic Mat])*IF(Table_NFI[[#This Row],[Distribution Date]]&gt;"2014-04-01",1,2.5)</f>
        <v>#REF!</v>
      </c>
      <c r="AJ42" s="465" t="e">
        <f>IF(NFI_Expiration=1,IF(#REF!&lt;VLOOKUP(S$5,NFI,5,0),1,0)*Table_NFI[[#This Row],[Winter Clothes Adult]],Table_NFI[Winter Clothes Adult])</f>
        <v>#REF!</v>
      </c>
      <c r="AK42" s="465" t="e">
        <f>IF(NFI_Expiration=1,IF(#REF!&lt;VLOOKUP(T$5,NFI,5,0),1,0)*Table_NFI[[#This Row],[Winter Clothes Children]],Table_NFI[Winter Clothes Children])</f>
        <v>#REF!</v>
      </c>
      <c r="AL42" s="465" t="e">
        <f>IF(NFI_Expiration=1,IF(#REF!&lt;VLOOKUP(U$5,NFI,5,0),1,0)*Table_NFI[[#This Row],[Winter Items Other]],Table_NFI[Winter Items Other])</f>
        <v>#REF!</v>
      </c>
      <c r="AM42" s="465" t="e">
        <f>IF(NFI_Expiration=1,IF(#REF!&lt;VLOOKUP(N$5,NFI,5,0),1,0)*Table_NFI[[#This Row],[Winter Blanket]],Table_NFI[[#This Row],[Winter Blanket]])</f>
        <v>#REF!</v>
      </c>
      <c r="AN42" s="465">
        <f>IF(Table_NFI[[#This Row],[Winter Clothes Adult]]+Table_NFI[[#This Row],[Winter Clothes Children]]+Table_NFI[[#This Row],[Winter Items Other]]+Table_NFI[[#This Row],[Winter Blanket]]&gt;0,1,0)</f>
        <v>0</v>
      </c>
      <c r="AO42" s="466" t="e">
        <f>IF(NFI_Expiration=1,IF(#REF!&lt;VLOOKUP(W$5,NFI,5,0),1,0)*Table_NFI[[#This Row],[Jerry Can]],Table_NFI[Jerry Can])</f>
        <v>#REF!</v>
      </c>
      <c r="AP42" s="466" t="e">
        <f>IF(NFI_Expiration=1,IF(#REF!&lt;VLOOKUP(W$5,NFI,5,0),1,0)*Table_NFI[[#This Row],[Shelter Tool kit]],Table_NFI[Shelter Tool kit])</f>
        <v>#REF!</v>
      </c>
      <c r="AQ42" s="466" t="e">
        <f>IF(NFI_Expiration=1,IF(#REF!&lt;VLOOKUP(W$5,NFI,5,0),1,0)*Table_NFI[[#This Row],[Tent]],Table_NFI[Tent])</f>
        <v>#REF!</v>
      </c>
      <c r="AR42" s="467" t="str">
        <f>IFERROR(VLOOKUP(Table_NFI[[#This Row],[Location]],CL,2,0),"")</f>
        <v>MMR015CMP218</v>
      </c>
      <c r="AS42" s="469" t="s">
        <v>1423</v>
      </c>
    </row>
    <row r="43" spans="2:117" s="406" customFormat="1" ht="15" customHeight="1" x14ac:dyDescent="0.25">
      <c r="B43" s="747">
        <v>42865</v>
      </c>
      <c r="C43" s="462" t="s">
        <v>1296</v>
      </c>
      <c r="D43" s="462"/>
      <c r="E43" s="462" t="s">
        <v>378</v>
      </c>
      <c r="F43" s="462" t="s">
        <v>5</v>
      </c>
      <c r="G43" s="462" t="s">
        <v>1421</v>
      </c>
      <c r="H43" s="462"/>
      <c r="I43" s="463"/>
      <c r="J43" s="463"/>
      <c r="K43" s="463"/>
      <c r="L43" s="463">
        <v>54</v>
      </c>
      <c r="M43" s="463">
        <v>6</v>
      </c>
      <c r="N43" s="463">
        <v>108</v>
      </c>
      <c r="O43" s="463">
        <v>54</v>
      </c>
      <c r="P43" s="463"/>
      <c r="Q43" s="463"/>
      <c r="R43" s="463">
        <v>54</v>
      </c>
      <c r="S43" s="463"/>
      <c r="T43" s="463"/>
      <c r="U43" s="463"/>
      <c r="V43" s="463"/>
      <c r="W43" s="464"/>
      <c r="X43" s="464"/>
      <c r="Y43" s="463"/>
      <c r="Z43" s="463"/>
      <c r="AA43" s="465" t="e">
        <f>IF(NFI_Expiration=1,IF(#REF!&lt;VLOOKUP(J$5,NFI,5,0),1,0)*Table_NFI[[#This Row],[NFI Core Kit]],Table_NFI[NFI Core Kit])</f>
        <v>#REF!</v>
      </c>
      <c r="AB43" s="465" t="e">
        <f>IF(NFI_Expiration=1,IF(#REF!&lt;VLOOKUP(K$5,NFI,5,0),1,0)*Table_NFI[[#This Row],[Sanitary Kit]],Table_NFI[Sanitary Kit])</f>
        <v>#REF!</v>
      </c>
      <c r="AC43" s="465" t="e">
        <f>IF(NFI_Expiration=1,IF(#REF!&lt;VLOOKUP(L$5,NFI,5,0),1,0)*Table_NFI[[#This Row],[Mosquito net]],Table_NFI[Mosquito net])</f>
        <v>#REF!</v>
      </c>
      <c r="AD43" s="465" t="e">
        <f>IF(NFI_Expiration=1,IF(#REF!&lt;VLOOKUP(M$5,NFI,5,0),1,0)*Table_NFI[[#This Row],[Tarpaulin]],Table_NFI[[#This Row],[Tarpaulin]])</f>
        <v>#REF!</v>
      </c>
      <c r="AE43" s="465" t="e">
        <f>IF(NFI_Expiration=1,IF(#REF!&lt;VLOOKUP(N$5,NFI,5,0),1,0)*Table_NFI[[#This Row],[Blanket]],Table_NFI[[#This Row],[Blanket]])</f>
        <v>#REF!</v>
      </c>
      <c r="AF43" s="465" t="e">
        <f>IF(NFI_Expiration=1,IF(#REF!&lt;VLOOKUP(O$5,NFI,5,0),1,0)*Table_NFI[[#This Row],[Kitchen Set]],Table_NFI[Kitchen Set])</f>
        <v>#REF!</v>
      </c>
      <c r="AG43" s="465" t="e">
        <f>IF(NFI_Expiration=1,IF(#REF!&lt;VLOOKUP(P$5,NFI,5,0),1,0)*Table_NFI[[#This Row],[Clothes Kit]],Table_NFI[Clothes Kit])</f>
        <v>#REF!</v>
      </c>
      <c r="AH43" s="465" t="e">
        <f>IF(NFI_Expiration=1,IF(#REF!&lt;VLOOKUP(Q$5,NFI,5,0),1,0)*Table_NFI[[#This Row],[Plastic Bucket]],Table_NFI[Plastic Bucket])</f>
        <v>#REF!</v>
      </c>
      <c r="AI43" s="465" t="e">
        <f>IF(NFI_Expiration=1,IF(#REF!&lt;VLOOKUP(R$5,NFI,5,0),1,0)*Table_NFI[[#This Row],[Plastic Mat]],Table_NFI[Plastic Mat])*IF(Table_NFI[[#This Row],[Distribution Date]]&gt;"2014-04-01",1,2.5)</f>
        <v>#REF!</v>
      </c>
      <c r="AJ43" s="465" t="e">
        <f>IF(NFI_Expiration=1,IF(#REF!&lt;VLOOKUP(S$5,NFI,5,0),1,0)*Table_NFI[[#This Row],[Winter Clothes Adult]],Table_NFI[Winter Clothes Adult])</f>
        <v>#REF!</v>
      </c>
      <c r="AK43" s="465" t="e">
        <f>IF(NFI_Expiration=1,IF(#REF!&lt;VLOOKUP(T$5,NFI,5,0),1,0)*Table_NFI[[#This Row],[Winter Clothes Children]],Table_NFI[Winter Clothes Children])</f>
        <v>#REF!</v>
      </c>
      <c r="AL43" s="465" t="e">
        <f>IF(NFI_Expiration=1,IF(#REF!&lt;VLOOKUP(U$5,NFI,5,0),1,0)*Table_NFI[[#This Row],[Winter Items Other]],Table_NFI[Winter Items Other])</f>
        <v>#REF!</v>
      </c>
      <c r="AM43" s="465" t="e">
        <f>IF(NFI_Expiration=1,IF(#REF!&lt;VLOOKUP(N$5,NFI,5,0),1,0)*Table_NFI[[#This Row],[Winter Blanket]],Table_NFI[[#This Row],[Winter Blanket]])</f>
        <v>#REF!</v>
      </c>
      <c r="AN43" s="465">
        <f>IF(Table_NFI[[#This Row],[Winter Clothes Adult]]+Table_NFI[[#This Row],[Winter Clothes Children]]+Table_NFI[[#This Row],[Winter Items Other]]+Table_NFI[[#This Row],[Winter Blanket]]&gt;0,1,0)</f>
        <v>0</v>
      </c>
      <c r="AO43" s="466" t="e">
        <f>IF(NFI_Expiration=1,IF(#REF!&lt;VLOOKUP(W$5,NFI,5,0),1,0)*Table_NFI[[#This Row],[Jerry Can]],Table_NFI[Jerry Can])</f>
        <v>#REF!</v>
      </c>
      <c r="AP43" s="466" t="e">
        <f>IF(NFI_Expiration=1,IF(#REF!&lt;VLOOKUP(W$5,NFI,5,0),1,0)*Table_NFI[[#This Row],[Shelter Tool kit]],Table_NFI[Shelter Tool kit])</f>
        <v>#REF!</v>
      </c>
      <c r="AQ43" s="466" t="e">
        <f>IF(NFI_Expiration=1,IF(#REF!&lt;VLOOKUP(W$5,NFI,5,0),1,0)*Table_NFI[[#This Row],[Tent]],Table_NFI[Tent])</f>
        <v>#REF!</v>
      </c>
      <c r="AR43" s="467" t="str">
        <f>IFERROR(VLOOKUP(Table_NFI[[#This Row],[Location]],CL,2,0),"")</f>
        <v/>
      </c>
      <c r="AS43" s="498" t="s">
        <v>1422</v>
      </c>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row>
    <row r="44" spans="2:117" s="406" customFormat="1" ht="15" customHeight="1" x14ac:dyDescent="0.25">
      <c r="B44" s="748">
        <v>42860</v>
      </c>
      <c r="C44" s="218" t="s">
        <v>1600</v>
      </c>
      <c r="D44" s="218"/>
      <c r="E44" s="218" t="s">
        <v>378</v>
      </c>
      <c r="F44" s="218" t="s">
        <v>309</v>
      </c>
      <c r="G44" s="218" t="s">
        <v>312</v>
      </c>
      <c r="H44" s="218"/>
      <c r="I44" s="126"/>
      <c r="J44" s="126">
        <v>3</v>
      </c>
      <c r="K44" s="126">
        <v>3</v>
      </c>
      <c r="L44" s="126">
        <v>9</v>
      </c>
      <c r="M44" s="126">
        <v>3</v>
      </c>
      <c r="N44" s="126">
        <v>10</v>
      </c>
      <c r="O44" s="126">
        <v>5</v>
      </c>
      <c r="P44" s="126"/>
      <c r="Q44" s="126">
        <v>5</v>
      </c>
      <c r="R44" s="126">
        <v>28</v>
      </c>
      <c r="S44" s="126"/>
      <c r="T44" s="126"/>
      <c r="U44" s="126"/>
      <c r="V44" s="126"/>
      <c r="W44" s="408"/>
      <c r="X44" s="408"/>
      <c r="Y44" s="408"/>
      <c r="Z44" s="408"/>
      <c r="AA44" s="128" t="e">
        <f>IF(NFI_Expiration=1,IF(#REF!&lt;VLOOKUP(J$5,NFI,5,0),1,0)*Table_NFI[[#This Row],[NFI Core Kit]],Table_NFI[NFI Core Kit])</f>
        <v>#REF!</v>
      </c>
      <c r="AB44" s="128" t="e">
        <f>IF(NFI_Expiration=1,IF(#REF!&lt;VLOOKUP(K$5,NFI,5,0),1,0)*Table_NFI[[#This Row],[Sanitary Kit]],Table_NFI[Sanitary Kit])</f>
        <v>#REF!</v>
      </c>
      <c r="AC44" s="128" t="e">
        <f>IF(NFI_Expiration=1,IF(#REF!&lt;VLOOKUP(L$5,NFI,5,0),1,0)*Table_NFI[[#This Row],[Mosquito net]],Table_NFI[Mosquito net])</f>
        <v>#REF!</v>
      </c>
      <c r="AD44" s="128" t="e">
        <f>IF(NFI_Expiration=1,IF(#REF!&lt;VLOOKUP(M$5,NFI,5,0),1,0)*Table_NFI[[#This Row],[Tarpaulin]],Table_NFI[[#This Row],[Tarpaulin]])</f>
        <v>#REF!</v>
      </c>
      <c r="AE44" s="128" t="e">
        <f>IF(NFI_Expiration=1,IF(#REF!&lt;VLOOKUP(N$5,NFI,5,0),1,0)*Table_NFI[[#This Row],[Blanket]],Table_NFI[[#This Row],[Blanket]])</f>
        <v>#REF!</v>
      </c>
      <c r="AF44" s="128" t="e">
        <f>IF(NFI_Expiration=1,IF(#REF!&lt;VLOOKUP(O$5,NFI,5,0),1,0)*Table_NFI[[#This Row],[Kitchen Set]],Table_NFI[Kitchen Set])</f>
        <v>#REF!</v>
      </c>
      <c r="AG44" s="128" t="e">
        <f>IF(NFI_Expiration=1,IF(#REF!&lt;VLOOKUP(P$5,NFI,5,0),1,0)*Table_NFI[[#This Row],[Clothes Kit]],Table_NFI[Clothes Kit])</f>
        <v>#REF!</v>
      </c>
      <c r="AH44" s="128" t="e">
        <f>IF(NFI_Expiration=1,IF(#REF!&lt;VLOOKUP(Q$5,NFI,5,0),1,0)*Table_NFI[[#This Row],[Plastic Bucket]],Table_NFI[Plastic Bucket])</f>
        <v>#REF!</v>
      </c>
      <c r="AI44" s="128" t="e">
        <f>IF(NFI_Expiration=1,IF(#REF!&lt;VLOOKUP(R$5,NFI,5,0),1,0)*Table_NFI[[#This Row],[Plastic Mat]],Table_NFI[Plastic Mat])*IF(Table_NFI[[#This Row],[Distribution Date]]&gt;"2014-04-01",1,2.5)</f>
        <v>#REF!</v>
      </c>
      <c r="AJ44" s="128" t="e">
        <f>IF(NFI_Expiration=1,IF(#REF!&lt;VLOOKUP(S$5,NFI,5,0),1,0)*Table_NFI[[#This Row],[Winter Clothes Adult]],Table_NFI[Winter Clothes Adult])</f>
        <v>#REF!</v>
      </c>
      <c r="AK44" s="128" t="e">
        <f>IF(NFI_Expiration=1,IF(#REF!&lt;VLOOKUP(T$5,NFI,5,0),1,0)*Table_NFI[[#This Row],[Winter Clothes Children]],Table_NFI[Winter Clothes Children])</f>
        <v>#REF!</v>
      </c>
      <c r="AL44" s="128" t="e">
        <f>IF(NFI_Expiration=1,IF(#REF!&lt;VLOOKUP(U$5,NFI,5,0),1,0)*Table_NFI[[#This Row],[Winter Items Other]],Table_NFI[Winter Items Other])</f>
        <v>#REF!</v>
      </c>
      <c r="AM44" s="128" t="e">
        <f>IF(NFI_Expiration=1,IF(#REF!&lt;VLOOKUP(N$5,NFI,5,0),1,0)*Table_NFI[[#This Row],[Winter Blanket]],Table_NFI[[#This Row],[Winter Blanket]])</f>
        <v>#REF!</v>
      </c>
      <c r="AN44" s="128">
        <f>IF(Table_NFI[[#This Row],[Winter Clothes Adult]]+Table_NFI[[#This Row],[Winter Clothes Children]]+Table_NFI[[#This Row],[Winter Items Other]]+Table_NFI[[#This Row],[Winter Blanket]]&gt;0,1,0)</f>
        <v>0</v>
      </c>
      <c r="AO44" s="146" t="e">
        <f>IF(NFI_Expiration=1,IF(#REF!&lt;VLOOKUP(W$5,NFI,5,0),1,0)*Table_NFI[[#This Row],[Jerry Can]],Table_NFI[Jerry Can])</f>
        <v>#REF!</v>
      </c>
      <c r="AP44" s="146" t="e">
        <f>IF(NFI_Expiration=1,IF(#REF!&lt;VLOOKUP(W$5,NFI,5,0),1,0)*Table_NFI[[#This Row],[Shelter Tool kit]],Table_NFI[Shelter Tool kit])</f>
        <v>#REF!</v>
      </c>
      <c r="AQ44" s="146" t="e">
        <f>IF(NFI_Expiration=1,IF(#REF!&lt;VLOOKUP(W$5,NFI,5,0),1,0)*Table_NFI[[#This Row],[Tent]],Table_NFI[Tent])</f>
        <v>#REF!</v>
      </c>
      <c r="AR44" s="220" t="str">
        <f>IFERROR(VLOOKUP(Table_NFI[[#This Row],[Location]],CL,2,0),"")</f>
        <v>MMR001CMP028</v>
      </c>
      <c r="AS44" s="221"/>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row>
    <row r="45" spans="2:117" s="406" customFormat="1" ht="15" customHeight="1" x14ac:dyDescent="0.25">
      <c r="B45" s="748">
        <v>42860</v>
      </c>
      <c r="C45" s="218" t="s">
        <v>1600</v>
      </c>
      <c r="D45" s="218"/>
      <c r="E45" s="218" t="s">
        <v>378</v>
      </c>
      <c r="F45" s="218" t="s">
        <v>309</v>
      </c>
      <c r="G45" s="218" t="s">
        <v>347</v>
      </c>
      <c r="H45" s="218"/>
      <c r="I45" s="126"/>
      <c r="J45" s="126">
        <v>1</v>
      </c>
      <c r="K45" s="126">
        <v>1</v>
      </c>
      <c r="L45" s="126">
        <v>3</v>
      </c>
      <c r="M45" s="126">
        <v>1</v>
      </c>
      <c r="N45" s="126">
        <v>3</v>
      </c>
      <c r="O45" s="126">
        <v>1</v>
      </c>
      <c r="P45" s="126"/>
      <c r="Q45" s="126">
        <v>1</v>
      </c>
      <c r="R45" s="126">
        <v>3</v>
      </c>
      <c r="S45" s="126"/>
      <c r="T45" s="126"/>
      <c r="U45" s="126"/>
      <c r="V45" s="126"/>
      <c r="W45" s="408"/>
      <c r="X45" s="408"/>
      <c r="Y45" s="408"/>
      <c r="Z45" s="408"/>
      <c r="AA45" s="128" t="e">
        <f>IF(NFI_Expiration=1,IF(#REF!&lt;VLOOKUP(J$5,NFI,5,0),1,0)*Table_NFI[[#This Row],[NFI Core Kit]],Table_NFI[NFI Core Kit])</f>
        <v>#REF!</v>
      </c>
      <c r="AB45" s="128" t="e">
        <f>IF(NFI_Expiration=1,IF(#REF!&lt;VLOOKUP(K$5,NFI,5,0),1,0)*Table_NFI[[#This Row],[Sanitary Kit]],Table_NFI[Sanitary Kit])</f>
        <v>#REF!</v>
      </c>
      <c r="AC45" s="128" t="e">
        <f>IF(NFI_Expiration=1,IF(#REF!&lt;VLOOKUP(L$5,NFI,5,0),1,0)*Table_NFI[[#This Row],[Mosquito net]],Table_NFI[Mosquito net])</f>
        <v>#REF!</v>
      </c>
      <c r="AD45" s="128" t="e">
        <f>IF(NFI_Expiration=1,IF(#REF!&lt;VLOOKUP(M$5,NFI,5,0),1,0)*Table_NFI[[#This Row],[Tarpaulin]],Table_NFI[[#This Row],[Tarpaulin]])</f>
        <v>#REF!</v>
      </c>
      <c r="AE45" s="128" t="e">
        <f>IF(NFI_Expiration=1,IF(#REF!&lt;VLOOKUP(N$5,NFI,5,0),1,0)*Table_NFI[[#This Row],[Blanket]],Table_NFI[[#This Row],[Blanket]])</f>
        <v>#REF!</v>
      </c>
      <c r="AF45" s="128" t="e">
        <f>IF(NFI_Expiration=1,IF(#REF!&lt;VLOOKUP(O$5,NFI,5,0),1,0)*Table_NFI[[#This Row],[Kitchen Set]],Table_NFI[Kitchen Set])</f>
        <v>#REF!</v>
      </c>
      <c r="AG45" s="128" t="e">
        <f>IF(NFI_Expiration=1,IF(#REF!&lt;VLOOKUP(P$5,NFI,5,0),1,0)*Table_NFI[[#This Row],[Clothes Kit]],Table_NFI[Clothes Kit])</f>
        <v>#REF!</v>
      </c>
      <c r="AH45" s="128" t="e">
        <f>IF(NFI_Expiration=1,IF(#REF!&lt;VLOOKUP(Q$5,NFI,5,0),1,0)*Table_NFI[[#This Row],[Plastic Bucket]],Table_NFI[Plastic Bucket])</f>
        <v>#REF!</v>
      </c>
      <c r="AI45" s="128" t="e">
        <f>IF(NFI_Expiration=1,IF(#REF!&lt;VLOOKUP(R$5,NFI,5,0),1,0)*Table_NFI[[#This Row],[Plastic Mat]],Table_NFI[Plastic Mat])*IF(Table_NFI[[#This Row],[Distribution Date]]&gt;"2014-04-01",1,2.5)</f>
        <v>#REF!</v>
      </c>
      <c r="AJ45" s="128" t="e">
        <f>IF(NFI_Expiration=1,IF(#REF!&lt;VLOOKUP(S$5,NFI,5,0),1,0)*Table_NFI[[#This Row],[Winter Clothes Adult]],Table_NFI[Winter Clothes Adult])</f>
        <v>#REF!</v>
      </c>
      <c r="AK45" s="128" t="e">
        <f>IF(NFI_Expiration=1,IF(#REF!&lt;VLOOKUP(T$5,NFI,5,0),1,0)*Table_NFI[[#This Row],[Winter Clothes Children]],Table_NFI[Winter Clothes Children])</f>
        <v>#REF!</v>
      </c>
      <c r="AL45" s="128" t="e">
        <f>IF(NFI_Expiration=1,IF(#REF!&lt;VLOOKUP(U$5,NFI,5,0),1,0)*Table_NFI[[#This Row],[Winter Items Other]],Table_NFI[Winter Items Other])</f>
        <v>#REF!</v>
      </c>
      <c r="AM45" s="128" t="e">
        <f>IF(NFI_Expiration=1,IF(#REF!&lt;VLOOKUP(N$5,NFI,5,0),1,0)*Table_NFI[[#This Row],[Winter Blanket]],Table_NFI[[#This Row],[Winter Blanket]])</f>
        <v>#REF!</v>
      </c>
      <c r="AN45" s="128">
        <f>IF(Table_NFI[[#This Row],[Winter Clothes Adult]]+Table_NFI[[#This Row],[Winter Clothes Children]]+Table_NFI[[#This Row],[Winter Items Other]]+Table_NFI[[#This Row],[Winter Blanket]]&gt;0,1,0)</f>
        <v>0</v>
      </c>
      <c r="AO45" s="146" t="e">
        <f>IF(NFI_Expiration=1,IF(#REF!&lt;VLOOKUP(W$5,NFI,5,0),1,0)*Table_NFI[[#This Row],[Jerry Can]],Table_NFI[Jerry Can])</f>
        <v>#REF!</v>
      </c>
      <c r="AP45" s="146" t="e">
        <f>IF(NFI_Expiration=1,IF(#REF!&lt;VLOOKUP(W$5,NFI,5,0),1,0)*Table_NFI[[#This Row],[Shelter Tool kit]],Table_NFI[Shelter Tool kit])</f>
        <v>#REF!</v>
      </c>
      <c r="AQ45" s="146" t="e">
        <f>IF(NFI_Expiration=1,IF(#REF!&lt;VLOOKUP(W$5,NFI,5,0),1,0)*Table_NFI[[#This Row],[Tent]],Table_NFI[Tent])</f>
        <v>#REF!</v>
      </c>
      <c r="AR45" s="220" t="str">
        <f>IFERROR(VLOOKUP(Table_NFI[[#This Row],[Location]],CL,2,0),"")</f>
        <v>MMR001CMP037</v>
      </c>
      <c r="AS45" s="221"/>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row>
    <row r="46" spans="2:117" s="406" customFormat="1" ht="15" customHeight="1" x14ac:dyDescent="0.25">
      <c r="B46" s="748">
        <v>42860</v>
      </c>
      <c r="C46" s="218" t="s">
        <v>1600</v>
      </c>
      <c r="D46" s="218"/>
      <c r="E46" s="218" t="s">
        <v>378</v>
      </c>
      <c r="F46" s="218" t="s">
        <v>309</v>
      </c>
      <c r="G46" s="218" t="s">
        <v>342</v>
      </c>
      <c r="H46" s="218"/>
      <c r="I46" s="126"/>
      <c r="J46" s="126">
        <v>1</v>
      </c>
      <c r="K46" s="126">
        <v>1</v>
      </c>
      <c r="L46" s="126">
        <v>2</v>
      </c>
      <c r="M46" s="126">
        <v>1</v>
      </c>
      <c r="N46" s="126">
        <v>2</v>
      </c>
      <c r="O46" s="126">
        <v>1</v>
      </c>
      <c r="P46" s="126"/>
      <c r="Q46" s="126">
        <v>1</v>
      </c>
      <c r="R46" s="126">
        <v>3</v>
      </c>
      <c r="S46" s="126"/>
      <c r="T46" s="126"/>
      <c r="U46" s="126"/>
      <c r="V46" s="126"/>
      <c r="W46" s="408"/>
      <c r="X46" s="408"/>
      <c r="Y46" s="408"/>
      <c r="Z46" s="408"/>
      <c r="AA46" s="128" t="e">
        <f>IF(NFI_Expiration=1,IF(#REF!&lt;VLOOKUP(J$5,NFI,5,0),1,0)*Table_NFI[[#This Row],[NFI Core Kit]],Table_NFI[NFI Core Kit])</f>
        <v>#REF!</v>
      </c>
      <c r="AB46" s="128" t="e">
        <f>IF(NFI_Expiration=1,IF(#REF!&lt;VLOOKUP(K$5,NFI,5,0),1,0)*Table_NFI[[#This Row],[Sanitary Kit]],Table_NFI[Sanitary Kit])</f>
        <v>#REF!</v>
      </c>
      <c r="AC46" s="128" t="e">
        <f>IF(NFI_Expiration=1,IF(#REF!&lt;VLOOKUP(L$5,NFI,5,0),1,0)*Table_NFI[[#This Row],[Mosquito net]],Table_NFI[Mosquito net])</f>
        <v>#REF!</v>
      </c>
      <c r="AD46" s="128" t="e">
        <f>IF(NFI_Expiration=1,IF(#REF!&lt;VLOOKUP(M$5,NFI,5,0),1,0)*Table_NFI[[#This Row],[Tarpaulin]],Table_NFI[[#This Row],[Tarpaulin]])</f>
        <v>#REF!</v>
      </c>
      <c r="AE46" s="128" t="e">
        <f>IF(NFI_Expiration=1,IF(#REF!&lt;VLOOKUP(N$5,NFI,5,0),1,0)*Table_NFI[[#This Row],[Blanket]],Table_NFI[[#This Row],[Blanket]])</f>
        <v>#REF!</v>
      </c>
      <c r="AF46" s="128" t="e">
        <f>IF(NFI_Expiration=1,IF(#REF!&lt;VLOOKUP(O$5,NFI,5,0),1,0)*Table_NFI[[#This Row],[Kitchen Set]],Table_NFI[Kitchen Set])</f>
        <v>#REF!</v>
      </c>
      <c r="AG46" s="128" t="e">
        <f>IF(NFI_Expiration=1,IF(#REF!&lt;VLOOKUP(P$5,NFI,5,0),1,0)*Table_NFI[[#This Row],[Clothes Kit]],Table_NFI[Clothes Kit])</f>
        <v>#REF!</v>
      </c>
      <c r="AH46" s="128" t="e">
        <f>IF(NFI_Expiration=1,IF(#REF!&lt;VLOOKUP(Q$5,NFI,5,0),1,0)*Table_NFI[[#This Row],[Plastic Bucket]],Table_NFI[Plastic Bucket])</f>
        <v>#REF!</v>
      </c>
      <c r="AI46" s="128" t="e">
        <f>IF(NFI_Expiration=1,IF(#REF!&lt;VLOOKUP(R$5,NFI,5,0),1,0)*Table_NFI[[#This Row],[Plastic Mat]],Table_NFI[Plastic Mat])*IF(Table_NFI[[#This Row],[Distribution Date]]&gt;"2014-04-01",1,2.5)</f>
        <v>#REF!</v>
      </c>
      <c r="AJ46" s="128" t="e">
        <f>IF(NFI_Expiration=1,IF(#REF!&lt;VLOOKUP(S$5,NFI,5,0),1,0)*Table_NFI[[#This Row],[Winter Clothes Adult]],Table_NFI[Winter Clothes Adult])</f>
        <v>#REF!</v>
      </c>
      <c r="AK46" s="128" t="e">
        <f>IF(NFI_Expiration=1,IF(#REF!&lt;VLOOKUP(T$5,NFI,5,0),1,0)*Table_NFI[[#This Row],[Winter Clothes Children]],Table_NFI[Winter Clothes Children])</f>
        <v>#REF!</v>
      </c>
      <c r="AL46" s="128" t="e">
        <f>IF(NFI_Expiration=1,IF(#REF!&lt;VLOOKUP(U$5,NFI,5,0),1,0)*Table_NFI[[#This Row],[Winter Items Other]],Table_NFI[Winter Items Other])</f>
        <v>#REF!</v>
      </c>
      <c r="AM46" s="128" t="e">
        <f>IF(NFI_Expiration=1,IF(#REF!&lt;VLOOKUP(N$5,NFI,5,0),1,0)*Table_NFI[[#This Row],[Winter Blanket]],Table_NFI[[#This Row],[Winter Blanket]])</f>
        <v>#REF!</v>
      </c>
      <c r="AN46" s="128">
        <f>IF(Table_NFI[[#This Row],[Winter Clothes Adult]]+Table_NFI[[#This Row],[Winter Clothes Children]]+Table_NFI[[#This Row],[Winter Items Other]]+Table_NFI[[#This Row],[Winter Blanket]]&gt;0,1,0)</f>
        <v>0</v>
      </c>
      <c r="AO46" s="146" t="e">
        <f>IF(NFI_Expiration=1,IF(#REF!&lt;VLOOKUP(W$5,NFI,5,0),1,0)*Table_NFI[[#This Row],[Jerry Can]],Table_NFI[Jerry Can])</f>
        <v>#REF!</v>
      </c>
      <c r="AP46" s="146" t="e">
        <f>IF(NFI_Expiration=1,IF(#REF!&lt;VLOOKUP(W$5,NFI,5,0),1,0)*Table_NFI[[#This Row],[Shelter Tool kit]],Table_NFI[Shelter Tool kit])</f>
        <v>#REF!</v>
      </c>
      <c r="AQ46" s="146" t="e">
        <f>IF(NFI_Expiration=1,IF(#REF!&lt;VLOOKUP(W$5,NFI,5,0),1,0)*Table_NFI[[#This Row],[Tent]],Table_NFI[Tent])</f>
        <v>#REF!</v>
      </c>
      <c r="AR46" s="220" t="str">
        <f>IFERROR(VLOOKUP(Table_NFI[[#This Row],[Location]],CL,2,0),"")</f>
        <v>MMR001CMP033</v>
      </c>
      <c r="AS46" s="221"/>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row>
    <row r="47" spans="2:117" s="406" customFormat="1" ht="15" customHeight="1" x14ac:dyDescent="0.25">
      <c r="B47" s="748">
        <v>42860</v>
      </c>
      <c r="C47" s="218" t="s">
        <v>1600</v>
      </c>
      <c r="D47" s="218"/>
      <c r="E47" s="218" t="s">
        <v>378</v>
      </c>
      <c r="F47" s="218" t="s">
        <v>309</v>
      </c>
      <c r="G47" s="218" t="s">
        <v>315</v>
      </c>
      <c r="H47" s="218"/>
      <c r="I47" s="126"/>
      <c r="J47" s="126">
        <v>2</v>
      </c>
      <c r="K47" s="126">
        <v>2</v>
      </c>
      <c r="L47" s="126">
        <v>7</v>
      </c>
      <c r="M47" s="126">
        <v>6</v>
      </c>
      <c r="N47" s="126">
        <v>7</v>
      </c>
      <c r="O47" s="126">
        <v>2</v>
      </c>
      <c r="P47" s="126"/>
      <c r="Q47" s="126">
        <v>2</v>
      </c>
      <c r="R47" s="126">
        <v>9</v>
      </c>
      <c r="S47" s="126"/>
      <c r="T47" s="126"/>
      <c r="U47" s="126"/>
      <c r="V47" s="126"/>
      <c r="W47" s="408"/>
      <c r="X47" s="408"/>
      <c r="Y47" s="408"/>
      <c r="Z47" s="408"/>
      <c r="AA47" s="128" t="e">
        <f>IF(NFI_Expiration=1,IF(#REF!&lt;VLOOKUP(J$5,NFI,5,0),1,0)*Table_NFI[[#This Row],[NFI Core Kit]],Table_NFI[NFI Core Kit])</f>
        <v>#REF!</v>
      </c>
      <c r="AB47" s="128" t="e">
        <f>IF(NFI_Expiration=1,IF(#REF!&lt;VLOOKUP(K$5,NFI,5,0),1,0)*Table_NFI[[#This Row],[Sanitary Kit]],Table_NFI[Sanitary Kit])</f>
        <v>#REF!</v>
      </c>
      <c r="AC47" s="128" t="e">
        <f>IF(NFI_Expiration=1,IF(#REF!&lt;VLOOKUP(L$5,NFI,5,0),1,0)*Table_NFI[[#This Row],[Mosquito net]],Table_NFI[Mosquito net])</f>
        <v>#REF!</v>
      </c>
      <c r="AD47" s="128" t="e">
        <f>IF(NFI_Expiration=1,IF(#REF!&lt;VLOOKUP(M$5,NFI,5,0),1,0)*Table_NFI[[#This Row],[Tarpaulin]],Table_NFI[[#This Row],[Tarpaulin]])</f>
        <v>#REF!</v>
      </c>
      <c r="AE47" s="128" t="e">
        <f>IF(NFI_Expiration=1,IF(#REF!&lt;VLOOKUP(N$5,NFI,5,0),1,0)*Table_NFI[[#This Row],[Blanket]],Table_NFI[[#This Row],[Blanket]])</f>
        <v>#REF!</v>
      </c>
      <c r="AF47" s="128" t="e">
        <f>IF(NFI_Expiration=1,IF(#REF!&lt;VLOOKUP(O$5,NFI,5,0),1,0)*Table_NFI[[#This Row],[Kitchen Set]],Table_NFI[Kitchen Set])</f>
        <v>#REF!</v>
      </c>
      <c r="AG47" s="128" t="e">
        <f>IF(NFI_Expiration=1,IF(#REF!&lt;VLOOKUP(P$5,NFI,5,0),1,0)*Table_NFI[[#This Row],[Clothes Kit]],Table_NFI[Clothes Kit])</f>
        <v>#REF!</v>
      </c>
      <c r="AH47" s="128" t="e">
        <f>IF(NFI_Expiration=1,IF(#REF!&lt;VLOOKUP(Q$5,NFI,5,0),1,0)*Table_NFI[[#This Row],[Plastic Bucket]],Table_NFI[Plastic Bucket])</f>
        <v>#REF!</v>
      </c>
      <c r="AI47" s="128" t="e">
        <f>IF(NFI_Expiration=1,IF(#REF!&lt;VLOOKUP(R$5,NFI,5,0),1,0)*Table_NFI[[#This Row],[Plastic Mat]],Table_NFI[Plastic Mat])*IF(Table_NFI[[#This Row],[Distribution Date]]&gt;"2014-04-01",1,2.5)</f>
        <v>#REF!</v>
      </c>
      <c r="AJ47" s="128" t="e">
        <f>IF(NFI_Expiration=1,IF(#REF!&lt;VLOOKUP(S$5,NFI,5,0),1,0)*Table_NFI[[#This Row],[Winter Clothes Adult]],Table_NFI[Winter Clothes Adult])</f>
        <v>#REF!</v>
      </c>
      <c r="AK47" s="128" t="e">
        <f>IF(NFI_Expiration=1,IF(#REF!&lt;VLOOKUP(T$5,NFI,5,0),1,0)*Table_NFI[[#This Row],[Winter Clothes Children]],Table_NFI[Winter Clothes Children])</f>
        <v>#REF!</v>
      </c>
      <c r="AL47" s="128" t="e">
        <f>IF(NFI_Expiration=1,IF(#REF!&lt;VLOOKUP(U$5,NFI,5,0),1,0)*Table_NFI[[#This Row],[Winter Items Other]],Table_NFI[Winter Items Other])</f>
        <v>#REF!</v>
      </c>
      <c r="AM47" s="128" t="e">
        <f>IF(NFI_Expiration=1,IF(#REF!&lt;VLOOKUP(N$5,NFI,5,0),1,0)*Table_NFI[[#This Row],[Winter Blanket]],Table_NFI[[#This Row],[Winter Blanket]])</f>
        <v>#REF!</v>
      </c>
      <c r="AN47" s="128">
        <f>IF(Table_NFI[[#This Row],[Winter Clothes Adult]]+Table_NFI[[#This Row],[Winter Clothes Children]]+Table_NFI[[#This Row],[Winter Items Other]]+Table_NFI[[#This Row],[Winter Blanket]]&gt;0,1,0)</f>
        <v>0</v>
      </c>
      <c r="AO47" s="146" t="e">
        <f>IF(NFI_Expiration=1,IF(#REF!&lt;VLOOKUP(W$5,NFI,5,0),1,0)*Table_NFI[[#This Row],[Jerry Can]],Table_NFI[Jerry Can])</f>
        <v>#REF!</v>
      </c>
      <c r="AP47" s="146" t="e">
        <f>IF(NFI_Expiration=1,IF(#REF!&lt;VLOOKUP(W$5,NFI,5,0),1,0)*Table_NFI[[#This Row],[Shelter Tool kit]],Table_NFI[Shelter Tool kit])</f>
        <v>#REF!</v>
      </c>
      <c r="AQ47" s="146" t="e">
        <f>IF(NFI_Expiration=1,IF(#REF!&lt;VLOOKUP(W$5,NFI,5,0),1,0)*Table_NFI[[#This Row],[Tent]],Table_NFI[Tent])</f>
        <v>#REF!</v>
      </c>
      <c r="AR47" s="220" t="str">
        <f>IFERROR(VLOOKUP(Table_NFI[[#This Row],[Location]],CL,2,0),"")</f>
        <v>MMR001CMP038</v>
      </c>
      <c r="AS47" s="221"/>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row>
    <row r="48" spans="2:117" s="407" customFormat="1" ht="15" customHeight="1" x14ac:dyDescent="0.25">
      <c r="B48" s="748">
        <v>42852</v>
      </c>
      <c r="C48" s="214" t="s">
        <v>1567</v>
      </c>
      <c r="D48" s="214" t="s">
        <v>1567</v>
      </c>
      <c r="E48" s="218" t="s">
        <v>378</v>
      </c>
      <c r="F48" s="218" t="s">
        <v>309</v>
      </c>
      <c r="G48" s="218" t="s">
        <v>317</v>
      </c>
      <c r="H48" s="218"/>
      <c r="I48" s="126">
        <v>10</v>
      </c>
      <c r="J48" s="126"/>
      <c r="K48" s="126">
        <v>90</v>
      </c>
      <c r="L48" s="126"/>
      <c r="M48" s="126"/>
      <c r="N48" s="126"/>
      <c r="O48" s="126"/>
      <c r="P48" s="126"/>
      <c r="Q48" s="126">
        <v>10</v>
      </c>
      <c r="R48" s="126"/>
      <c r="S48" s="126"/>
      <c r="T48" s="126"/>
      <c r="U48" s="126"/>
      <c r="V48" s="126"/>
      <c r="W48" s="408">
        <v>10</v>
      </c>
      <c r="X48" s="408"/>
      <c r="Y48" s="126"/>
      <c r="Z48" s="126"/>
      <c r="AA48" s="128" t="e">
        <f>IF(NFI_Expiration=1,IF(#REF!&lt;VLOOKUP(J$5,NFI,5,0),1,0)*Table_NFI[[#This Row],[NFI Core Kit]],Table_NFI[NFI Core Kit])</f>
        <v>#REF!</v>
      </c>
      <c r="AB48" s="128" t="e">
        <f>IF(NFI_Expiration=1,IF(#REF!&lt;VLOOKUP(K$5,NFI,5,0),1,0)*Table_NFI[[#This Row],[Sanitary Kit]],Table_NFI[Sanitary Kit])</f>
        <v>#REF!</v>
      </c>
      <c r="AC48" s="128" t="e">
        <f>IF(NFI_Expiration=1,IF(#REF!&lt;VLOOKUP(L$5,NFI,5,0),1,0)*Table_NFI[[#This Row],[Mosquito net]],Table_NFI[Mosquito net])</f>
        <v>#REF!</v>
      </c>
      <c r="AD48" s="128" t="e">
        <f>IF(NFI_Expiration=1,IF(#REF!&lt;VLOOKUP(M$5,NFI,5,0),1,0)*Table_NFI[[#This Row],[Tarpaulin]],Table_NFI[[#This Row],[Tarpaulin]])</f>
        <v>#REF!</v>
      </c>
      <c r="AE48" s="128" t="e">
        <f>IF(NFI_Expiration=1,IF(#REF!&lt;VLOOKUP(N$5,NFI,5,0),1,0)*Table_NFI[[#This Row],[Blanket]],Table_NFI[[#This Row],[Blanket]])</f>
        <v>#REF!</v>
      </c>
      <c r="AF48" s="128" t="e">
        <f>IF(NFI_Expiration=1,IF(#REF!&lt;VLOOKUP(O$5,NFI,5,0),1,0)*Table_NFI[[#This Row],[Kitchen Set]],Table_NFI[Kitchen Set])</f>
        <v>#REF!</v>
      </c>
      <c r="AG48" s="128" t="e">
        <f>IF(NFI_Expiration=1,IF(#REF!&lt;VLOOKUP(P$5,NFI,5,0),1,0)*Table_NFI[[#This Row],[Clothes Kit]],Table_NFI[Clothes Kit])</f>
        <v>#REF!</v>
      </c>
      <c r="AH48" s="128" t="e">
        <f>IF(NFI_Expiration=1,IF(#REF!&lt;VLOOKUP(Q$5,NFI,5,0),1,0)*Table_NFI[[#This Row],[Plastic Bucket]],Table_NFI[Plastic Bucket])</f>
        <v>#REF!</v>
      </c>
      <c r="AI48" s="128" t="e">
        <f>IF(NFI_Expiration=1,IF(#REF!&lt;VLOOKUP(R$5,NFI,5,0),1,0)*Table_NFI[[#This Row],[Plastic Mat]],Table_NFI[Plastic Mat])*IF(Table_NFI[[#This Row],[Distribution Date]]&gt;"2014-04-01",1,2.5)</f>
        <v>#REF!</v>
      </c>
      <c r="AJ48" s="128" t="e">
        <f>IF(NFI_Expiration=1,IF(#REF!&lt;VLOOKUP(S$5,NFI,5,0),1,0)*Table_NFI[[#This Row],[Winter Clothes Adult]],Table_NFI[Winter Clothes Adult])</f>
        <v>#REF!</v>
      </c>
      <c r="AK48" s="128" t="e">
        <f>IF(NFI_Expiration=1,IF(#REF!&lt;VLOOKUP(T$5,NFI,5,0),1,0)*Table_NFI[[#This Row],[Winter Clothes Children]],Table_NFI[Winter Clothes Children])</f>
        <v>#REF!</v>
      </c>
      <c r="AL48" s="128" t="e">
        <f>IF(NFI_Expiration=1,IF(#REF!&lt;VLOOKUP(U$5,NFI,5,0),1,0)*Table_NFI[[#This Row],[Winter Items Other]],Table_NFI[Winter Items Other])</f>
        <v>#REF!</v>
      </c>
      <c r="AM48" s="128" t="e">
        <f>IF(NFI_Expiration=1,IF(#REF!&lt;VLOOKUP(N$5,NFI,5,0),1,0)*Table_NFI[[#This Row],[Winter Blanket]],Table_NFI[[#This Row],[Winter Blanket]])</f>
        <v>#REF!</v>
      </c>
      <c r="AN48" s="128">
        <f>IF(Table_NFI[[#This Row],[Winter Clothes Adult]]+Table_NFI[[#This Row],[Winter Clothes Children]]+Table_NFI[[#This Row],[Winter Items Other]]+Table_NFI[[#This Row],[Winter Blanket]]&gt;0,1,0)</f>
        <v>0</v>
      </c>
      <c r="AO48" s="146" t="e">
        <f>IF(NFI_Expiration=1,IF(#REF!&lt;VLOOKUP(W$5,NFI,5,0),1,0)*Table_NFI[[#This Row],[Jerry Can]],Table_NFI[Jerry Can])</f>
        <v>#REF!</v>
      </c>
      <c r="AP48" s="146" t="e">
        <f>IF(NFI_Expiration=1,IF(#REF!&lt;VLOOKUP(W$5,NFI,5,0),1,0)*Table_NFI[[#This Row],[Shelter Tool kit]],Table_NFI[Shelter Tool kit])</f>
        <v>#REF!</v>
      </c>
      <c r="AQ48" s="146" t="e">
        <f>IF(NFI_Expiration=1,IF(#REF!&lt;VLOOKUP(W$5,NFI,5,0),1,0)*Table_NFI[[#This Row],[Tent]],Table_NFI[Tent])</f>
        <v>#REF!</v>
      </c>
      <c r="AR48" s="220" t="str">
        <f>IFERROR(VLOOKUP(Table_NFI[[#This Row],[Location]],CL,2,0),"")</f>
        <v>MMR001CMP032</v>
      </c>
      <c r="AS48" s="221" t="s">
        <v>1293</v>
      </c>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c r="CP48" s="222"/>
      <c r="CQ48" s="222"/>
      <c r="CR48" s="222"/>
      <c r="CS48" s="222"/>
      <c r="CT48" s="222"/>
      <c r="CU48" s="222"/>
      <c r="CV48" s="222"/>
      <c r="CW48" s="222"/>
      <c r="CX48" s="222"/>
      <c r="CY48" s="222"/>
      <c r="CZ48" s="222"/>
      <c r="DA48" s="222"/>
      <c r="DB48" s="222"/>
      <c r="DC48" s="222"/>
      <c r="DD48" s="222"/>
      <c r="DE48" s="222"/>
      <c r="DF48" s="222"/>
      <c r="DG48" s="222"/>
      <c r="DH48" s="222"/>
      <c r="DI48" s="222"/>
      <c r="DJ48" s="222"/>
      <c r="DK48" s="222"/>
      <c r="DL48" s="222"/>
      <c r="DM48" s="222"/>
    </row>
    <row r="49" spans="1:117" s="407" customFormat="1" ht="15" customHeight="1" x14ac:dyDescent="0.25">
      <c r="B49" s="748">
        <v>42838</v>
      </c>
      <c r="C49" s="218" t="s">
        <v>420</v>
      </c>
      <c r="D49" s="218" t="s">
        <v>462</v>
      </c>
      <c r="E49" s="218" t="s">
        <v>378</v>
      </c>
      <c r="F49" s="218" t="s">
        <v>309</v>
      </c>
      <c r="G49" s="218" t="s">
        <v>317</v>
      </c>
      <c r="H49" s="218"/>
      <c r="I49" s="126"/>
      <c r="J49" s="126">
        <v>17</v>
      </c>
      <c r="K49" s="126">
        <v>17</v>
      </c>
      <c r="L49" s="126">
        <v>58</v>
      </c>
      <c r="M49" s="126">
        <v>17</v>
      </c>
      <c r="N49" s="126">
        <v>58</v>
      </c>
      <c r="O49" s="126">
        <v>17</v>
      </c>
      <c r="P49" s="126"/>
      <c r="Q49" s="126">
        <v>17</v>
      </c>
      <c r="R49" s="126">
        <v>76</v>
      </c>
      <c r="S49" s="126"/>
      <c r="T49" s="126"/>
      <c r="U49" s="126"/>
      <c r="V49" s="126"/>
      <c r="W49" s="408">
        <v>17</v>
      </c>
      <c r="X49" s="408"/>
      <c r="Y49" s="126"/>
      <c r="Z49" s="126">
        <v>15</v>
      </c>
      <c r="AA49" s="128" t="e">
        <f>IF(NFI_Expiration=1,IF(#REF!&lt;VLOOKUP(J$5,NFI,5,0),1,0)*Table_NFI[[#This Row],[NFI Core Kit]],Table_NFI[NFI Core Kit])</f>
        <v>#REF!</v>
      </c>
      <c r="AB49" s="128" t="e">
        <f>IF(NFI_Expiration=1,IF(#REF!&lt;VLOOKUP(K$5,NFI,5,0),1,0)*Table_NFI[[#This Row],[Sanitary Kit]],Table_NFI[Sanitary Kit])</f>
        <v>#REF!</v>
      </c>
      <c r="AC49" s="128" t="e">
        <f>IF(NFI_Expiration=1,IF(#REF!&lt;VLOOKUP(L$5,NFI,5,0),1,0)*Table_NFI[[#This Row],[Mosquito net]],Table_NFI[Mosquito net])</f>
        <v>#REF!</v>
      </c>
      <c r="AD49" s="128" t="e">
        <f>IF(NFI_Expiration=1,IF(#REF!&lt;VLOOKUP(M$5,NFI,5,0),1,0)*Table_NFI[[#This Row],[Tarpaulin]],Table_NFI[[#This Row],[Tarpaulin]])</f>
        <v>#REF!</v>
      </c>
      <c r="AE49" s="128" t="e">
        <f>IF(NFI_Expiration=1,IF(#REF!&lt;VLOOKUP(N$5,NFI,5,0),1,0)*Table_NFI[[#This Row],[Blanket]],Table_NFI[[#This Row],[Blanket]])</f>
        <v>#REF!</v>
      </c>
      <c r="AF49" s="128" t="e">
        <f>IF(NFI_Expiration=1,IF(#REF!&lt;VLOOKUP(O$5,NFI,5,0),1,0)*Table_NFI[[#This Row],[Kitchen Set]],Table_NFI[Kitchen Set])</f>
        <v>#REF!</v>
      </c>
      <c r="AG49" s="128" t="e">
        <f>IF(NFI_Expiration=1,IF(#REF!&lt;VLOOKUP(P$5,NFI,5,0),1,0)*Table_NFI[[#This Row],[Clothes Kit]],Table_NFI[Clothes Kit])</f>
        <v>#REF!</v>
      </c>
      <c r="AH49" s="128" t="e">
        <f>IF(NFI_Expiration=1,IF(#REF!&lt;VLOOKUP(Q$5,NFI,5,0),1,0)*Table_NFI[[#This Row],[Plastic Bucket]],Table_NFI[Plastic Bucket])</f>
        <v>#REF!</v>
      </c>
      <c r="AI49" s="128" t="e">
        <f>IF(NFI_Expiration=1,IF(#REF!&lt;VLOOKUP(R$5,NFI,5,0),1,0)*Table_NFI[[#This Row],[Plastic Mat]],Table_NFI[Plastic Mat])*IF(Table_NFI[[#This Row],[Distribution Date]]&gt;"2014-04-01",1,2.5)</f>
        <v>#REF!</v>
      </c>
      <c r="AJ49" s="128" t="e">
        <f>IF(NFI_Expiration=1,IF(#REF!&lt;VLOOKUP(S$5,NFI,5,0),1,0)*Table_NFI[[#This Row],[Winter Clothes Adult]],Table_NFI[Winter Clothes Adult])</f>
        <v>#REF!</v>
      </c>
      <c r="AK49" s="128" t="e">
        <f>IF(NFI_Expiration=1,IF(#REF!&lt;VLOOKUP(T$5,NFI,5,0),1,0)*Table_NFI[[#This Row],[Winter Clothes Children]],Table_NFI[Winter Clothes Children])</f>
        <v>#REF!</v>
      </c>
      <c r="AL49" s="128" t="e">
        <f>IF(NFI_Expiration=1,IF(#REF!&lt;VLOOKUP(U$5,NFI,5,0),1,0)*Table_NFI[[#This Row],[Winter Items Other]],Table_NFI[Winter Items Other])</f>
        <v>#REF!</v>
      </c>
      <c r="AM49" s="128" t="e">
        <f>IF(NFI_Expiration=1,IF(#REF!&lt;VLOOKUP(N$5,NFI,5,0),1,0)*Table_NFI[[#This Row],[Winter Blanket]],Table_NFI[[#This Row],[Winter Blanket]])</f>
        <v>#REF!</v>
      </c>
      <c r="AN49" s="128">
        <f>IF(Table_NFI[[#This Row],[Winter Clothes Adult]]+Table_NFI[[#This Row],[Winter Clothes Children]]+Table_NFI[[#This Row],[Winter Items Other]]+Table_NFI[[#This Row],[Winter Blanket]]&gt;0,1,0)</f>
        <v>0</v>
      </c>
      <c r="AO49" s="146" t="e">
        <f>IF(NFI_Expiration=1,IF(#REF!&lt;VLOOKUP(W$5,NFI,5,0),1,0)*Table_NFI[[#This Row],[Jerry Can]],Table_NFI[Jerry Can])</f>
        <v>#REF!</v>
      </c>
      <c r="AP49" s="146" t="e">
        <f>IF(NFI_Expiration=1,IF(#REF!&lt;VLOOKUP(W$5,NFI,5,0),1,0)*Table_NFI[[#This Row],[Shelter Tool kit]],Table_NFI[Shelter Tool kit])</f>
        <v>#REF!</v>
      </c>
      <c r="AQ49" s="146" t="e">
        <f>IF(NFI_Expiration=1,IF(#REF!&lt;VLOOKUP(W$5,NFI,5,0),1,0)*Table_NFI[[#This Row],[Tent]],Table_NFI[Tent])</f>
        <v>#REF!</v>
      </c>
      <c r="AR49" s="220" t="str">
        <f>IFERROR(VLOOKUP(Table_NFI[[#This Row],[Location]],CL,2,0),"")</f>
        <v>MMR001CMP032</v>
      </c>
      <c r="AS49" s="221" t="s">
        <v>1289</v>
      </c>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c r="CP49" s="222"/>
      <c r="CQ49" s="222"/>
      <c r="CR49" s="222"/>
      <c r="CS49" s="222"/>
      <c r="CT49" s="222"/>
      <c r="CU49" s="222"/>
      <c r="CV49" s="222"/>
      <c r="CW49" s="222"/>
      <c r="CX49" s="222"/>
      <c r="CY49" s="222"/>
      <c r="CZ49" s="222"/>
      <c r="DA49" s="222"/>
      <c r="DB49" s="222"/>
      <c r="DC49" s="222"/>
      <c r="DD49" s="222"/>
      <c r="DE49" s="222"/>
      <c r="DF49" s="222"/>
      <c r="DG49" s="222"/>
      <c r="DH49" s="222"/>
      <c r="DI49" s="222"/>
      <c r="DJ49" s="222"/>
      <c r="DK49" s="222"/>
      <c r="DL49" s="222"/>
      <c r="DM49" s="222"/>
    </row>
    <row r="50" spans="1:117" s="217" customFormat="1" ht="15" customHeight="1" x14ac:dyDescent="0.25">
      <c r="A50" s="407"/>
      <c r="B50" s="748">
        <v>42829</v>
      </c>
      <c r="C50" s="214" t="s">
        <v>1296</v>
      </c>
      <c r="D50" s="218" t="s">
        <v>1296</v>
      </c>
      <c r="E50" s="218" t="s">
        <v>378</v>
      </c>
      <c r="F50" s="218" t="s">
        <v>151</v>
      </c>
      <c r="G50" s="218" t="s">
        <v>851</v>
      </c>
      <c r="H50" s="218"/>
      <c r="I50" s="126"/>
      <c r="J50" s="126"/>
      <c r="K50" s="126"/>
      <c r="L50" s="126"/>
      <c r="M50" s="126"/>
      <c r="N50" s="126"/>
      <c r="O50" s="126"/>
      <c r="P50" s="126"/>
      <c r="Q50" s="126"/>
      <c r="R50" s="126"/>
      <c r="S50" s="126">
        <v>144</v>
      </c>
      <c r="T50" s="126"/>
      <c r="U50" s="126"/>
      <c r="V50" s="126">
        <v>36</v>
      </c>
      <c r="W50" s="408"/>
      <c r="X50" s="408"/>
      <c r="Y50" s="126"/>
      <c r="Z50" s="126"/>
      <c r="AA50" s="128" t="e">
        <f>IF(NFI_Expiration=1,IF(#REF!&lt;VLOOKUP(J$5,NFI,5,0),1,0)*Table_NFI[[#This Row],[NFI Core Kit]],Table_NFI[NFI Core Kit])</f>
        <v>#REF!</v>
      </c>
      <c r="AB50" s="128" t="e">
        <f>IF(NFI_Expiration=1,IF(#REF!&lt;VLOOKUP(K$5,NFI,5,0),1,0)*Table_NFI[[#This Row],[Sanitary Kit]],Table_NFI[Sanitary Kit])</f>
        <v>#REF!</v>
      </c>
      <c r="AC50" s="128" t="e">
        <f>IF(NFI_Expiration=1,IF(#REF!&lt;VLOOKUP(L$5,NFI,5,0),1,0)*Table_NFI[[#This Row],[Mosquito net]],Table_NFI[Mosquito net])</f>
        <v>#REF!</v>
      </c>
      <c r="AD50" s="128" t="e">
        <f>IF(NFI_Expiration=1,IF(#REF!&lt;VLOOKUP(M$5,NFI,5,0),1,0)*Table_NFI[[#This Row],[Tarpaulin]],Table_NFI[[#This Row],[Tarpaulin]])</f>
        <v>#REF!</v>
      </c>
      <c r="AE50" s="128" t="e">
        <f>IF(NFI_Expiration=1,IF(#REF!&lt;VLOOKUP(N$5,NFI,5,0),1,0)*Table_NFI[[#This Row],[Blanket]],Table_NFI[[#This Row],[Blanket]])</f>
        <v>#REF!</v>
      </c>
      <c r="AF50" s="128" t="e">
        <f>IF(NFI_Expiration=1,IF(#REF!&lt;VLOOKUP(O$5,NFI,5,0),1,0)*Table_NFI[[#This Row],[Kitchen Set]],Table_NFI[Kitchen Set])</f>
        <v>#REF!</v>
      </c>
      <c r="AG50" s="128" t="e">
        <f>IF(NFI_Expiration=1,IF(#REF!&lt;VLOOKUP(P$5,NFI,5,0),1,0)*Table_NFI[[#This Row],[Clothes Kit]],Table_NFI[Clothes Kit])</f>
        <v>#REF!</v>
      </c>
      <c r="AH50" s="128" t="e">
        <f>IF(NFI_Expiration=1,IF(#REF!&lt;VLOOKUP(Q$5,NFI,5,0),1,0)*Table_NFI[[#This Row],[Plastic Bucket]],Table_NFI[Plastic Bucket])</f>
        <v>#REF!</v>
      </c>
      <c r="AI50" s="128" t="e">
        <f>IF(NFI_Expiration=1,IF(#REF!&lt;VLOOKUP(R$5,NFI,5,0),1,0)*Table_NFI[[#This Row],[Plastic Mat]],Table_NFI[Plastic Mat])*IF(Table_NFI[[#This Row],[Distribution Date]]&gt;"2014-04-01",1,2.5)</f>
        <v>#REF!</v>
      </c>
      <c r="AJ50" s="128" t="e">
        <f>IF(NFI_Expiration=1,IF(#REF!&lt;VLOOKUP(S$5,NFI,5,0),1,0)*Table_NFI[[#This Row],[Winter Clothes Adult]],Table_NFI[Winter Clothes Adult])</f>
        <v>#REF!</v>
      </c>
      <c r="AK50" s="128" t="e">
        <f>IF(NFI_Expiration=1,IF(#REF!&lt;VLOOKUP(T$5,NFI,5,0),1,0)*Table_NFI[[#This Row],[Winter Clothes Children]],Table_NFI[Winter Clothes Children])</f>
        <v>#REF!</v>
      </c>
      <c r="AL50" s="128" t="e">
        <f>IF(NFI_Expiration=1,IF(#REF!&lt;VLOOKUP(U$5,NFI,5,0),1,0)*Table_NFI[[#This Row],[Winter Items Other]],Table_NFI[Winter Items Other])</f>
        <v>#REF!</v>
      </c>
      <c r="AM50" s="128" t="e">
        <f>IF(NFI_Expiration=1,IF(#REF!&lt;VLOOKUP(N$5,NFI,5,0),1,0)*Table_NFI[[#This Row],[Winter Blanket]],Table_NFI[[#This Row],[Winter Blanket]])</f>
        <v>#REF!</v>
      </c>
      <c r="AN50" s="128">
        <f>IF(Table_NFI[[#This Row],[Winter Clothes Adult]]+Table_NFI[[#This Row],[Winter Clothes Children]]+Table_NFI[[#This Row],[Winter Items Other]]+Table_NFI[[#This Row],[Winter Blanket]]&gt;0,1,0)</f>
        <v>1</v>
      </c>
      <c r="AO50" s="146" t="e">
        <f>IF(NFI_Expiration=1,IF(#REF!&lt;VLOOKUP(W$5,NFI,5,0),1,0)*Table_NFI[[#This Row],[Jerry Can]],Table_NFI[Jerry Can])</f>
        <v>#REF!</v>
      </c>
      <c r="AP50" s="146" t="e">
        <f>IF(NFI_Expiration=1,IF(#REF!&lt;VLOOKUP(W$5,NFI,5,0),1,0)*Table_NFI[[#This Row],[Shelter Tool kit]],Table_NFI[Shelter Tool kit])</f>
        <v>#REF!</v>
      </c>
      <c r="AQ50" s="146" t="e">
        <f>IF(NFI_Expiration=1,IF(#REF!&lt;VLOOKUP(W$5,NFI,5,0),1,0)*Table_NFI[[#This Row],[Tent]],Table_NFI[Tent])</f>
        <v>#REF!</v>
      </c>
      <c r="AR50" s="220" t="str">
        <f>IFERROR(VLOOKUP(Table_NFI[[#This Row],[Location]],CL,2,0),"")</f>
        <v>MMR001CMP223</v>
      </c>
      <c r="AS50" s="221" t="s">
        <v>1297</v>
      </c>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c r="CP50" s="222"/>
      <c r="CQ50" s="222"/>
      <c r="CR50" s="222"/>
      <c r="CS50" s="222"/>
      <c r="CT50" s="222"/>
      <c r="CU50" s="222"/>
      <c r="CV50" s="222"/>
      <c r="CW50" s="222"/>
      <c r="CX50" s="222"/>
      <c r="CY50" s="222"/>
      <c r="CZ50" s="222"/>
      <c r="DA50" s="222"/>
      <c r="DB50" s="222"/>
      <c r="DC50" s="222"/>
      <c r="DD50" s="222"/>
      <c r="DE50" s="222"/>
      <c r="DF50" s="222"/>
      <c r="DG50" s="222"/>
      <c r="DH50" s="222"/>
      <c r="DI50" s="222"/>
      <c r="DJ50" s="222"/>
      <c r="DK50" s="222"/>
      <c r="DL50" s="222"/>
      <c r="DM50" s="222"/>
    </row>
    <row r="51" spans="1:117" s="407" customFormat="1" ht="15" customHeight="1" x14ac:dyDescent="0.25">
      <c r="B51" s="748">
        <v>42825</v>
      </c>
      <c r="C51" s="218" t="s">
        <v>1296</v>
      </c>
      <c r="D51" s="218" t="s">
        <v>1296</v>
      </c>
      <c r="E51" s="218" t="s">
        <v>507</v>
      </c>
      <c r="F51" s="218" t="s">
        <v>146</v>
      </c>
      <c r="G51" s="218" t="s">
        <v>368</v>
      </c>
      <c r="H51" s="218"/>
      <c r="I51" s="126"/>
      <c r="J51" s="126"/>
      <c r="K51" s="126"/>
      <c r="L51" s="126"/>
      <c r="M51" s="126"/>
      <c r="N51" s="126"/>
      <c r="O51" s="126"/>
      <c r="P51" s="126"/>
      <c r="Q51" s="126"/>
      <c r="R51" s="126"/>
      <c r="S51" s="126">
        <v>540</v>
      </c>
      <c r="T51" s="126"/>
      <c r="U51" s="126"/>
      <c r="V51" s="126">
        <v>135</v>
      </c>
      <c r="W51" s="408"/>
      <c r="X51" s="408"/>
      <c r="Y51" s="126"/>
      <c r="Z51" s="126"/>
      <c r="AA51" s="128" t="e">
        <f>IF(NFI_Expiration=1,IF(#REF!&lt;VLOOKUP(J$5,NFI,5,0),1,0)*Table_NFI[[#This Row],[NFI Core Kit]],Table_NFI[NFI Core Kit])</f>
        <v>#REF!</v>
      </c>
      <c r="AB51" s="128" t="e">
        <f>IF(NFI_Expiration=1,IF(#REF!&lt;VLOOKUP(K$5,NFI,5,0),1,0)*Table_NFI[[#This Row],[Sanitary Kit]],Table_NFI[Sanitary Kit])</f>
        <v>#REF!</v>
      </c>
      <c r="AC51" s="128" t="e">
        <f>IF(NFI_Expiration=1,IF(#REF!&lt;VLOOKUP(L$5,NFI,5,0),1,0)*Table_NFI[[#This Row],[Mosquito net]],Table_NFI[Mosquito net])</f>
        <v>#REF!</v>
      </c>
      <c r="AD51" s="128" t="e">
        <f>IF(NFI_Expiration=1,IF(#REF!&lt;VLOOKUP(M$5,NFI,5,0),1,0)*Table_NFI[[#This Row],[Tarpaulin]],Table_NFI[[#This Row],[Tarpaulin]])</f>
        <v>#REF!</v>
      </c>
      <c r="AE51" s="128" t="e">
        <f>IF(NFI_Expiration=1,IF(#REF!&lt;VLOOKUP(N$5,NFI,5,0),1,0)*Table_NFI[[#This Row],[Blanket]],Table_NFI[[#This Row],[Blanket]])</f>
        <v>#REF!</v>
      </c>
      <c r="AF51" s="128" t="e">
        <f>IF(NFI_Expiration=1,IF(#REF!&lt;VLOOKUP(O$5,NFI,5,0),1,0)*Table_NFI[[#This Row],[Kitchen Set]],Table_NFI[Kitchen Set])</f>
        <v>#REF!</v>
      </c>
      <c r="AG51" s="128" t="e">
        <f>IF(NFI_Expiration=1,IF(#REF!&lt;VLOOKUP(P$5,NFI,5,0),1,0)*Table_NFI[[#This Row],[Clothes Kit]],Table_NFI[Clothes Kit])</f>
        <v>#REF!</v>
      </c>
      <c r="AH51" s="128" t="e">
        <f>IF(NFI_Expiration=1,IF(#REF!&lt;VLOOKUP(Q$5,NFI,5,0),1,0)*Table_NFI[[#This Row],[Plastic Bucket]],Table_NFI[Plastic Bucket])</f>
        <v>#REF!</v>
      </c>
      <c r="AI51" s="128" t="e">
        <f>IF(NFI_Expiration=1,IF(#REF!&lt;VLOOKUP(R$5,NFI,5,0),1,0)*Table_NFI[[#This Row],[Plastic Mat]],Table_NFI[Plastic Mat])*IF(Table_NFI[[#This Row],[Distribution Date]]&gt;"2014-04-01",1,2.5)</f>
        <v>#REF!</v>
      </c>
      <c r="AJ51" s="128" t="e">
        <f>IF(NFI_Expiration=1,IF(#REF!&lt;VLOOKUP(S$5,NFI,5,0),1,0)*Table_NFI[[#This Row],[Winter Clothes Adult]],Table_NFI[Winter Clothes Adult])</f>
        <v>#REF!</v>
      </c>
      <c r="AK51" s="128" t="e">
        <f>IF(NFI_Expiration=1,IF(#REF!&lt;VLOOKUP(T$5,NFI,5,0),1,0)*Table_NFI[[#This Row],[Winter Clothes Children]],Table_NFI[Winter Clothes Children])</f>
        <v>#REF!</v>
      </c>
      <c r="AL51" s="128" t="e">
        <f>IF(NFI_Expiration=1,IF(#REF!&lt;VLOOKUP(U$5,NFI,5,0),1,0)*Table_NFI[[#This Row],[Winter Items Other]],Table_NFI[Winter Items Other])</f>
        <v>#REF!</v>
      </c>
      <c r="AM51" s="128" t="e">
        <f>IF(NFI_Expiration=1,IF(#REF!&lt;VLOOKUP(N$5,NFI,5,0),1,0)*Table_NFI[[#This Row],[Winter Blanket]],Table_NFI[[#This Row],[Winter Blanket]])</f>
        <v>#REF!</v>
      </c>
      <c r="AN51" s="128">
        <f>IF(Table_NFI[[#This Row],[Winter Clothes Adult]]+Table_NFI[[#This Row],[Winter Clothes Children]]+Table_NFI[[#This Row],[Winter Items Other]]+Table_NFI[[#This Row],[Winter Blanket]]&gt;0,1,0)</f>
        <v>1</v>
      </c>
      <c r="AO51" s="146" t="e">
        <f>IF(NFI_Expiration=1,IF(#REF!&lt;VLOOKUP(W$5,NFI,5,0),1,0)*Table_NFI[[#This Row],[Jerry Can]],Table_NFI[Jerry Can])</f>
        <v>#REF!</v>
      </c>
      <c r="AP51" s="146" t="e">
        <f>IF(NFI_Expiration=1,IF(#REF!&lt;VLOOKUP(W$5,NFI,5,0),1,0)*Table_NFI[[#This Row],[Shelter Tool kit]],Table_NFI[Shelter Tool kit])</f>
        <v>#REF!</v>
      </c>
      <c r="AQ51" s="146" t="e">
        <f>IF(NFI_Expiration=1,IF(#REF!&lt;VLOOKUP(W$5,NFI,5,0),1,0)*Table_NFI[[#This Row],[Tent]],Table_NFI[Tent])</f>
        <v>#REF!</v>
      </c>
      <c r="AR51" s="220" t="str">
        <f>IFERROR(VLOOKUP(Table_NFI[[#This Row],[Location]],CL,2,0),"")</f>
        <v>MMR015CMP017</v>
      </c>
      <c r="AS51" s="221" t="s">
        <v>1297</v>
      </c>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c r="CP51" s="222"/>
      <c r="CQ51" s="222"/>
      <c r="CR51" s="222"/>
      <c r="CS51" s="222"/>
      <c r="CT51" s="222"/>
      <c r="CU51" s="222"/>
      <c r="CV51" s="222"/>
      <c r="CW51" s="222"/>
      <c r="CX51" s="222"/>
      <c r="CY51" s="222"/>
      <c r="CZ51" s="222"/>
      <c r="DA51" s="222"/>
      <c r="DB51" s="222"/>
      <c r="DC51" s="222"/>
      <c r="DD51" s="222"/>
      <c r="DE51" s="222"/>
      <c r="DF51" s="222"/>
      <c r="DG51" s="222"/>
      <c r="DH51" s="222"/>
      <c r="DI51" s="222"/>
      <c r="DJ51" s="222"/>
      <c r="DK51" s="222"/>
      <c r="DL51" s="222"/>
      <c r="DM51" s="222"/>
    </row>
    <row r="52" spans="1:117" s="407" customFormat="1" ht="15" customHeight="1" x14ac:dyDescent="0.25">
      <c r="B52" s="748">
        <v>42823</v>
      </c>
      <c r="C52" s="214" t="s">
        <v>420</v>
      </c>
      <c r="D52" s="218" t="s">
        <v>462</v>
      </c>
      <c r="E52" s="218" t="s">
        <v>378</v>
      </c>
      <c r="F52" s="218" t="s">
        <v>309</v>
      </c>
      <c r="G52" s="218" t="s">
        <v>342</v>
      </c>
      <c r="H52" s="218"/>
      <c r="I52" s="126"/>
      <c r="J52" s="126">
        <v>5</v>
      </c>
      <c r="K52" s="126">
        <v>5</v>
      </c>
      <c r="L52" s="126">
        <v>10</v>
      </c>
      <c r="M52" s="126">
        <v>5</v>
      </c>
      <c r="N52" s="126">
        <v>10</v>
      </c>
      <c r="O52" s="126">
        <v>5</v>
      </c>
      <c r="P52" s="126"/>
      <c r="Q52" s="126">
        <v>5</v>
      </c>
      <c r="R52" s="126">
        <v>28</v>
      </c>
      <c r="S52" s="126"/>
      <c r="T52" s="126"/>
      <c r="U52" s="126"/>
      <c r="V52" s="126"/>
      <c r="W52" s="408">
        <v>5</v>
      </c>
      <c r="X52" s="408"/>
      <c r="Y52" s="126"/>
      <c r="Z52" s="126"/>
      <c r="AA52" s="128" t="e">
        <f>IF(NFI_Expiration=1,IF(#REF!&lt;VLOOKUP(J$5,NFI,5,0),1,0)*Table_NFI[[#This Row],[NFI Core Kit]],Table_NFI[NFI Core Kit])</f>
        <v>#REF!</v>
      </c>
      <c r="AB52" s="128" t="e">
        <f>IF(NFI_Expiration=1,IF(#REF!&lt;VLOOKUP(K$5,NFI,5,0),1,0)*Table_NFI[[#This Row],[Sanitary Kit]],Table_NFI[Sanitary Kit])</f>
        <v>#REF!</v>
      </c>
      <c r="AC52" s="128" t="e">
        <f>IF(NFI_Expiration=1,IF(#REF!&lt;VLOOKUP(L$5,NFI,5,0),1,0)*Table_NFI[[#This Row],[Mosquito net]],Table_NFI[Mosquito net])</f>
        <v>#REF!</v>
      </c>
      <c r="AD52" s="128" t="e">
        <f>IF(NFI_Expiration=1,IF(#REF!&lt;VLOOKUP(M$5,NFI,5,0),1,0)*Table_NFI[[#This Row],[Tarpaulin]],Table_NFI[[#This Row],[Tarpaulin]])</f>
        <v>#REF!</v>
      </c>
      <c r="AE52" s="128" t="e">
        <f>IF(NFI_Expiration=1,IF(#REF!&lt;VLOOKUP(N$5,NFI,5,0),1,0)*Table_NFI[[#This Row],[Blanket]],Table_NFI[[#This Row],[Blanket]])</f>
        <v>#REF!</v>
      </c>
      <c r="AF52" s="128" t="e">
        <f>IF(NFI_Expiration=1,IF(#REF!&lt;VLOOKUP(O$5,NFI,5,0),1,0)*Table_NFI[[#This Row],[Kitchen Set]],Table_NFI[Kitchen Set])</f>
        <v>#REF!</v>
      </c>
      <c r="AG52" s="128" t="e">
        <f>IF(NFI_Expiration=1,IF(#REF!&lt;VLOOKUP(P$5,NFI,5,0),1,0)*Table_NFI[[#This Row],[Clothes Kit]],Table_NFI[Clothes Kit])</f>
        <v>#REF!</v>
      </c>
      <c r="AH52" s="128" t="e">
        <f>IF(NFI_Expiration=1,IF(#REF!&lt;VLOOKUP(Q$5,NFI,5,0),1,0)*Table_NFI[[#This Row],[Plastic Bucket]],Table_NFI[Plastic Bucket])</f>
        <v>#REF!</v>
      </c>
      <c r="AI52" s="128" t="e">
        <f>IF(NFI_Expiration=1,IF(#REF!&lt;VLOOKUP(R$5,NFI,5,0),1,0)*Table_NFI[[#This Row],[Plastic Mat]],Table_NFI[Plastic Mat])*IF(Table_NFI[[#This Row],[Distribution Date]]&gt;"2014-04-01",1,2.5)</f>
        <v>#REF!</v>
      </c>
      <c r="AJ52" s="128" t="e">
        <f>IF(NFI_Expiration=1,IF(#REF!&lt;VLOOKUP(S$5,NFI,5,0),1,0)*Table_NFI[[#This Row],[Winter Clothes Adult]],Table_NFI[Winter Clothes Adult])</f>
        <v>#REF!</v>
      </c>
      <c r="AK52" s="128" t="e">
        <f>IF(NFI_Expiration=1,IF(#REF!&lt;VLOOKUP(T$5,NFI,5,0),1,0)*Table_NFI[[#This Row],[Winter Clothes Children]],Table_NFI[Winter Clothes Children])</f>
        <v>#REF!</v>
      </c>
      <c r="AL52" s="128" t="e">
        <f>IF(NFI_Expiration=1,IF(#REF!&lt;VLOOKUP(U$5,NFI,5,0),1,0)*Table_NFI[[#This Row],[Winter Items Other]],Table_NFI[Winter Items Other])</f>
        <v>#REF!</v>
      </c>
      <c r="AM52" s="128" t="e">
        <f>IF(NFI_Expiration=1,IF(#REF!&lt;VLOOKUP(N$5,NFI,5,0),1,0)*Table_NFI[[#This Row],[Winter Blanket]],Table_NFI[[#This Row],[Winter Blanket]])</f>
        <v>#REF!</v>
      </c>
      <c r="AN52" s="128">
        <f>IF(Table_NFI[[#This Row],[Winter Clothes Adult]]+Table_NFI[[#This Row],[Winter Clothes Children]]+Table_NFI[[#This Row],[Winter Items Other]]+Table_NFI[[#This Row],[Winter Blanket]]&gt;0,1,0)</f>
        <v>0</v>
      </c>
      <c r="AO52" s="146" t="e">
        <f>IF(NFI_Expiration=1,IF(#REF!&lt;VLOOKUP(W$5,NFI,5,0),1,0)*Table_NFI[[#This Row],[Jerry Can]],Table_NFI[Jerry Can])</f>
        <v>#REF!</v>
      </c>
      <c r="AP52" s="146" t="e">
        <f>IF(NFI_Expiration=1,IF(#REF!&lt;VLOOKUP(W$5,NFI,5,0),1,0)*Table_NFI[[#This Row],[Shelter Tool kit]],Table_NFI[Shelter Tool kit])</f>
        <v>#REF!</v>
      </c>
      <c r="AQ52" s="146" t="e">
        <f>IF(NFI_Expiration=1,IF(#REF!&lt;VLOOKUP(W$5,NFI,5,0),1,0)*Table_NFI[[#This Row],[Tent]],Table_NFI[Tent])</f>
        <v>#REF!</v>
      </c>
      <c r="AR52" s="220" t="str">
        <f>IFERROR(VLOOKUP(Table_NFI[[#This Row],[Location]],CL,2,0),"")</f>
        <v>MMR001CMP033</v>
      </c>
      <c r="AS52" s="221" t="s">
        <v>1272</v>
      </c>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c r="CP52" s="222"/>
      <c r="CQ52" s="222"/>
      <c r="CR52" s="222"/>
      <c r="CS52" s="222"/>
      <c r="CT52" s="222"/>
      <c r="CU52" s="222"/>
      <c r="CV52" s="222"/>
      <c r="CW52" s="222"/>
      <c r="CX52" s="222"/>
      <c r="CY52" s="222"/>
      <c r="CZ52" s="222"/>
      <c r="DA52" s="222"/>
      <c r="DB52" s="222"/>
      <c r="DC52" s="222"/>
      <c r="DD52" s="222"/>
      <c r="DE52" s="222"/>
      <c r="DF52" s="222"/>
      <c r="DG52" s="222"/>
      <c r="DH52" s="222"/>
      <c r="DI52" s="222"/>
      <c r="DJ52" s="222"/>
      <c r="DK52" s="222"/>
      <c r="DL52" s="222"/>
      <c r="DM52" s="222"/>
    </row>
    <row r="53" spans="1:117" s="407" customFormat="1" ht="15" customHeight="1" x14ac:dyDescent="0.25">
      <c r="B53" s="748">
        <v>42814</v>
      </c>
      <c r="C53" s="218" t="s">
        <v>420</v>
      </c>
      <c r="D53" s="218" t="s">
        <v>424</v>
      </c>
      <c r="E53" s="218" t="s">
        <v>378</v>
      </c>
      <c r="F53" s="218" t="s">
        <v>748</v>
      </c>
      <c r="G53" s="218" t="s">
        <v>1086</v>
      </c>
      <c r="H53" s="218"/>
      <c r="I53" s="126"/>
      <c r="J53" s="126"/>
      <c r="K53" s="126"/>
      <c r="L53" s="126"/>
      <c r="M53" s="126"/>
      <c r="N53" s="126">
        <v>134</v>
      </c>
      <c r="O53" s="126"/>
      <c r="P53" s="126"/>
      <c r="Q53" s="126"/>
      <c r="R53" s="126"/>
      <c r="S53" s="126"/>
      <c r="T53" s="126"/>
      <c r="U53" s="126"/>
      <c r="V53" s="126"/>
      <c r="W53" s="408"/>
      <c r="X53" s="408"/>
      <c r="Y53" s="126"/>
      <c r="Z53" s="126"/>
      <c r="AA53" s="128" t="e">
        <f>IF(NFI_Expiration=1,IF(#REF!&lt;VLOOKUP(J$5,NFI,5,0),1,0)*Table_NFI[[#This Row],[NFI Core Kit]],Table_NFI[NFI Core Kit])</f>
        <v>#REF!</v>
      </c>
      <c r="AB53" s="128" t="e">
        <f>IF(NFI_Expiration=1,IF(#REF!&lt;VLOOKUP(K$5,NFI,5,0),1,0)*Table_NFI[[#This Row],[Sanitary Kit]],Table_NFI[Sanitary Kit])</f>
        <v>#REF!</v>
      </c>
      <c r="AC53" s="128" t="e">
        <f>IF(NFI_Expiration=1,IF(#REF!&lt;VLOOKUP(L$5,NFI,5,0),1,0)*Table_NFI[[#This Row],[Mosquito net]],Table_NFI[Mosquito net])</f>
        <v>#REF!</v>
      </c>
      <c r="AD53" s="128" t="e">
        <f>IF(NFI_Expiration=1,IF(#REF!&lt;VLOOKUP(M$5,NFI,5,0),1,0)*Table_NFI[[#This Row],[Tarpaulin]],Table_NFI[[#This Row],[Tarpaulin]])</f>
        <v>#REF!</v>
      </c>
      <c r="AE53" s="128" t="e">
        <f>IF(NFI_Expiration=1,IF(#REF!&lt;VLOOKUP(N$5,NFI,5,0),1,0)*Table_NFI[[#This Row],[Blanket]],Table_NFI[[#This Row],[Blanket]])</f>
        <v>#REF!</v>
      </c>
      <c r="AF53" s="128" t="e">
        <f>IF(NFI_Expiration=1,IF(#REF!&lt;VLOOKUP(O$5,NFI,5,0),1,0)*Table_NFI[[#This Row],[Kitchen Set]],Table_NFI[Kitchen Set])</f>
        <v>#REF!</v>
      </c>
      <c r="AG53" s="128" t="e">
        <f>IF(NFI_Expiration=1,IF(#REF!&lt;VLOOKUP(P$5,NFI,5,0),1,0)*Table_NFI[[#This Row],[Clothes Kit]],Table_NFI[Clothes Kit])</f>
        <v>#REF!</v>
      </c>
      <c r="AH53" s="128" t="e">
        <f>IF(NFI_Expiration=1,IF(#REF!&lt;VLOOKUP(Q$5,NFI,5,0),1,0)*Table_NFI[[#This Row],[Plastic Bucket]],Table_NFI[Plastic Bucket])</f>
        <v>#REF!</v>
      </c>
      <c r="AI53" s="128" t="e">
        <f>IF(NFI_Expiration=1,IF(#REF!&lt;VLOOKUP(R$5,NFI,5,0),1,0)*Table_NFI[[#This Row],[Plastic Mat]],Table_NFI[Plastic Mat])*IF(Table_NFI[[#This Row],[Distribution Date]]&gt;"2014-04-01",1,2.5)</f>
        <v>#REF!</v>
      </c>
      <c r="AJ53" s="128" t="e">
        <f>IF(NFI_Expiration=1,IF(#REF!&lt;VLOOKUP(S$5,NFI,5,0),1,0)*Table_NFI[[#This Row],[Winter Clothes Adult]],Table_NFI[Winter Clothes Adult])</f>
        <v>#REF!</v>
      </c>
      <c r="AK53" s="128" t="e">
        <f>IF(NFI_Expiration=1,IF(#REF!&lt;VLOOKUP(T$5,NFI,5,0),1,0)*Table_NFI[[#This Row],[Winter Clothes Children]],Table_NFI[Winter Clothes Children])</f>
        <v>#REF!</v>
      </c>
      <c r="AL53" s="128" t="e">
        <f>IF(NFI_Expiration=1,IF(#REF!&lt;VLOOKUP(U$5,NFI,5,0),1,0)*Table_NFI[[#This Row],[Winter Items Other]],Table_NFI[Winter Items Other])</f>
        <v>#REF!</v>
      </c>
      <c r="AM53" s="128" t="e">
        <f>IF(NFI_Expiration=1,IF(#REF!&lt;VLOOKUP(N$5,NFI,5,0),1,0)*Table_NFI[[#This Row],[Winter Blanket]],Table_NFI[[#This Row],[Winter Blanket]])</f>
        <v>#REF!</v>
      </c>
      <c r="AN53" s="128">
        <f>IF(Table_NFI[[#This Row],[Winter Clothes Adult]]+Table_NFI[[#This Row],[Winter Clothes Children]]+Table_NFI[[#This Row],[Winter Items Other]]+Table_NFI[[#This Row],[Winter Blanket]]&gt;0,1,0)</f>
        <v>0</v>
      </c>
      <c r="AO53" s="146" t="e">
        <f>IF(NFI_Expiration=1,IF(#REF!&lt;VLOOKUP(W$5,NFI,5,0),1,0)*Table_NFI[[#This Row],[Jerry Can]],Table_NFI[Jerry Can])</f>
        <v>#REF!</v>
      </c>
      <c r="AP53" s="146" t="e">
        <f>IF(NFI_Expiration=1,IF(#REF!&lt;VLOOKUP(W$5,NFI,5,0),1,0)*Table_NFI[[#This Row],[Shelter Tool kit]],Table_NFI[Shelter Tool kit])</f>
        <v>#REF!</v>
      </c>
      <c r="AQ53" s="146" t="e">
        <f>IF(NFI_Expiration=1,IF(#REF!&lt;VLOOKUP(W$5,NFI,5,0),1,0)*Table_NFI[[#This Row],[Tent]],Table_NFI[Tent])</f>
        <v>#REF!</v>
      </c>
      <c r="AR53" s="220" t="str">
        <f>IFERROR(VLOOKUP(Table_NFI[[#This Row],[Location]],CL,2,0),"")</f>
        <v>MMR001CMP239</v>
      </c>
      <c r="AS53" s="221" t="s">
        <v>1288</v>
      </c>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c r="CP53" s="222"/>
      <c r="CQ53" s="222"/>
      <c r="CR53" s="222"/>
      <c r="CS53" s="222"/>
      <c r="CT53" s="222"/>
      <c r="CU53" s="222"/>
      <c r="CV53" s="222"/>
      <c r="CW53" s="222"/>
      <c r="CX53" s="222"/>
      <c r="CY53" s="222"/>
      <c r="CZ53" s="222"/>
      <c r="DA53" s="222"/>
      <c r="DB53" s="222"/>
      <c r="DC53" s="222"/>
      <c r="DD53" s="222"/>
      <c r="DE53" s="222"/>
      <c r="DF53" s="222"/>
      <c r="DG53" s="222"/>
      <c r="DH53" s="222"/>
      <c r="DI53" s="222"/>
      <c r="DJ53" s="222"/>
      <c r="DK53" s="222"/>
      <c r="DL53" s="222"/>
      <c r="DM53" s="222"/>
    </row>
    <row r="54" spans="1:117" s="407" customFormat="1" ht="15" customHeight="1" x14ac:dyDescent="0.25">
      <c r="B54" s="748">
        <v>42813</v>
      </c>
      <c r="C54" s="218" t="s">
        <v>420</v>
      </c>
      <c r="D54" s="218" t="s">
        <v>424</v>
      </c>
      <c r="E54" s="218" t="s">
        <v>378</v>
      </c>
      <c r="F54" s="218" t="s">
        <v>748</v>
      </c>
      <c r="G54" s="218" t="s">
        <v>1084</v>
      </c>
      <c r="H54" s="218"/>
      <c r="I54" s="126"/>
      <c r="J54" s="126"/>
      <c r="K54" s="126"/>
      <c r="L54" s="126"/>
      <c r="M54" s="126"/>
      <c r="N54" s="126">
        <v>292</v>
      </c>
      <c r="O54" s="126"/>
      <c r="P54" s="126"/>
      <c r="Q54" s="126"/>
      <c r="R54" s="126"/>
      <c r="S54" s="126"/>
      <c r="T54" s="126"/>
      <c r="U54" s="126"/>
      <c r="V54" s="126"/>
      <c r="W54" s="408"/>
      <c r="X54" s="408"/>
      <c r="Y54" s="126"/>
      <c r="Z54" s="126"/>
      <c r="AA54" s="128" t="e">
        <f>IF(NFI_Expiration=1,IF(#REF!&lt;VLOOKUP(J$5,NFI,5,0),1,0)*Table_NFI[[#This Row],[NFI Core Kit]],Table_NFI[NFI Core Kit])</f>
        <v>#REF!</v>
      </c>
      <c r="AB54" s="128" t="e">
        <f>IF(NFI_Expiration=1,IF(#REF!&lt;VLOOKUP(K$5,NFI,5,0),1,0)*Table_NFI[[#This Row],[Sanitary Kit]],Table_NFI[Sanitary Kit])</f>
        <v>#REF!</v>
      </c>
      <c r="AC54" s="128" t="e">
        <f>IF(NFI_Expiration=1,IF(#REF!&lt;VLOOKUP(L$5,NFI,5,0),1,0)*Table_NFI[[#This Row],[Mosquito net]],Table_NFI[Mosquito net])</f>
        <v>#REF!</v>
      </c>
      <c r="AD54" s="128" t="e">
        <f>IF(NFI_Expiration=1,IF(#REF!&lt;VLOOKUP(M$5,NFI,5,0),1,0)*Table_NFI[[#This Row],[Tarpaulin]],Table_NFI[[#This Row],[Tarpaulin]])</f>
        <v>#REF!</v>
      </c>
      <c r="AE54" s="128" t="e">
        <f>IF(NFI_Expiration=1,IF(#REF!&lt;VLOOKUP(N$5,NFI,5,0),1,0)*Table_NFI[[#This Row],[Blanket]],Table_NFI[[#This Row],[Blanket]])</f>
        <v>#REF!</v>
      </c>
      <c r="AF54" s="128" t="e">
        <f>IF(NFI_Expiration=1,IF(#REF!&lt;VLOOKUP(O$5,NFI,5,0),1,0)*Table_NFI[[#This Row],[Kitchen Set]],Table_NFI[Kitchen Set])</f>
        <v>#REF!</v>
      </c>
      <c r="AG54" s="128" t="e">
        <f>IF(NFI_Expiration=1,IF(#REF!&lt;VLOOKUP(P$5,NFI,5,0),1,0)*Table_NFI[[#This Row],[Clothes Kit]],Table_NFI[Clothes Kit])</f>
        <v>#REF!</v>
      </c>
      <c r="AH54" s="128" t="e">
        <f>IF(NFI_Expiration=1,IF(#REF!&lt;VLOOKUP(Q$5,NFI,5,0),1,0)*Table_NFI[[#This Row],[Plastic Bucket]],Table_NFI[Plastic Bucket])</f>
        <v>#REF!</v>
      </c>
      <c r="AI54" s="128" t="e">
        <f>IF(NFI_Expiration=1,IF(#REF!&lt;VLOOKUP(R$5,NFI,5,0),1,0)*Table_NFI[[#This Row],[Plastic Mat]],Table_NFI[Plastic Mat])*IF(Table_NFI[[#This Row],[Distribution Date]]&gt;"2014-04-01",1,2.5)</f>
        <v>#REF!</v>
      </c>
      <c r="AJ54" s="128" t="e">
        <f>IF(NFI_Expiration=1,IF(#REF!&lt;VLOOKUP(S$5,NFI,5,0),1,0)*Table_NFI[[#This Row],[Winter Clothes Adult]],Table_NFI[Winter Clothes Adult])</f>
        <v>#REF!</v>
      </c>
      <c r="AK54" s="128" t="e">
        <f>IF(NFI_Expiration=1,IF(#REF!&lt;VLOOKUP(T$5,NFI,5,0),1,0)*Table_NFI[[#This Row],[Winter Clothes Children]],Table_NFI[Winter Clothes Children])</f>
        <v>#REF!</v>
      </c>
      <c r="AL54" s="128" t="e">
        <f>IF(NFI_Expiration=1,IF(#REF!&lt;VLOOKUP(U$5,NFI,5,0),1,0)*Table_NFI[[#This Row],[Winter Items Other]],Table_NFI[Winter Items Other])</f>
        <v>#REF!</v>
      </c>
      <c r="AM54" s="128" t="e">
        <f>IF(NFI_Expiration=1,IF(#REF!&lt;VLOOKUP(N$5,NFI,5,0),1,0)*Table_NFI[[#This Row],[Winter Blanket]],Table_NFI[[#This Row],[Winter Blanket]])</f>
        <v>#REF!</v>
      </c>
      <c r="AN54" s="128">
        <f>IF(Table_NFI[[#This Row],[Winter Clothes Adult]]+Table_NFI[[#This Row],[Winter Clothes Children]]+Table_NFI[[#This Row],[Winter Items Other]]+Table_NFI[[#This Row],[Winter Blanket]]&gt;0,1,0)</f>
        <v>0</v>
      </c>
      <c r="AO54" s="146" t="e">
        <f>IF(NFI_Expiration=1,IF(#REF!&lt;VLOOKUP(W$5,NFI,5,0),1,0)*Table_NFI[[#This Row],[Jerry Can]],Table_NFI[Jerry Can])</f>
        <v>#REF!</v>
      </c>
      <c r="AP54" s="146" t="e">
        <f>IF(NFI_Expiration=1,IF(#REF!&lt;VLOOKUP(W$5,NFI,5,0),1,0)*Table_NFI[[#This Row],[Shelter Tool kit]],Table_NFI[Shelter Tool kit])</f>
        <v>#REF!</v>
      </c>
      <c r="AQ54" s="146" t="e">
        <f>IF(NFI_Expiration=1,IF(#REF!&lt;VLOOKUP(W$5,NFI,5,0),1,0)*Table_NFI[[#This Row],[Tent]],Table_NFI[Tent])</f>
        <v>#REF!</v>
      </c>
      <c r="AR54" s="220" t="str">
        <f>IFERROR(VLOOKUP(Table_NFI[[#This Row],[Location]],CL,2,0),"")</f>
        <v>MMR001CMP238</v>
      </c>
      <c r="AS54" s="221" t="s">
        <v>1288</v>
      </c>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c r="CP54" s="222"/>
      <c r="CQ54" s="222"/>
      <c r="CR54" s="222"/>
      <c r="CS54" s="222"/>
      <c r="CT54" s="222"/>
      <c r="CU54" s="222"/>
      <c r="CV54" s="222"/>
      <c r="CW54" s="222"/>
      <c r="CX54" s="222"/>
      <c r="CY54" s="222"/>
      <c r="CZ54" s="222"/>
      <c r="DA54" s="222"/>
      <c r="DB54" s="222"/>
      <c r="DC54" s="222"/>
      <c r="DD54" s="222"/>
      <c r="DE54" s="222"/>
      <c r="DF54" s="222"/>
      <c r="DG54" s="222"/>
      <c r="DH54" s="222"/>
      <c r="DI54" s="222"/>
      <c r="DJ54" s="222"/>
      <c r="DK54" s="222"/>
      <c r="DL54" s="222"/>
      <c r="DM54" s="222"/>
    </row>
    <row r="55" spans="1:117" s="407" customFormat="1" ht="15" customHeight="1" x14ac:dyDescent="0.25">
      <c r="B55" s="748">
        <v>42810</v>
      </c>
      <c r="C55" s="214" t="s">
        <v>420</v>
      </c>
      <c r="D55" s="218" t="s">
        <v>462</v>
      </c>
      <c r="E55" s="218" t="s">
        <v>378</v>
      </c>
      <c r="F55" s="218" t="s">
        <v>27</v>
      </c>
      <c r="G55" s="218" t="s">
        <v>363</v>
      </c>
      <c r="H55" s="218"/>
      <c r="I55" s="126"/>
      <c r="J55" s="126"/>
      <c r="K55" s="126"/>
      <c r="L55" s="126"/>
      <c r="M55" s="126"/>
      <c r="N55" s="126"/>
      <c r="O55" s="126"/>
      <c r="P55" s="126"/>
      <c r="Q55" s="126"/>
      <c r="R55" s="126"/>
      <c r="S55" s="126">
        <v>97</v>
      </c>
      <c r="T55" s="126">
        <v>203</v>
      </c>
      <c r="U55" s="126"/>
      <c r="V55" s="126"/>
      <c r="W55" s="408"/>
      <c r="X55" s="408"/>
      <c r="Y55" s="126"/>
      <c r="Z55" s="126"/>
      <c r="AA55" s="128" t="e">
        <f>IF(NFI_Expiration=1,IF(#REF!&lt;VLOOKUP(J$5,NFI,5,0),1,0)*Table_NFI[[#This Row],[NFI Core Kit]],Table_NFI[NFI Core Kit])</f>
        <v>#REF!</v>
      </c>
      <c r="AB55" s="128" t="e">
        <f>IF(NFI_Expiration=1,IF(#REF!&lt;VLOOKUP(K$5,NFI,5,0),1,0)*Table_NFI[[#This Row],[Sanitary Kit]],Table_NFI[Sanitary Kit])</f>
        <v>#REF!</v>
      </c>
      <c r="AC55" s="128" t="e">
        <f>IF(NFI_Expiration=1,IF(#REF!&lt;VLOOKUP(L$5,NFI,5,0),1,0)*Table_NFI[[#This Row],[Mosquito net]],Table_NFI[Mosquito net])</f>
        <v>#REF!</v>
      </c>
      <c r="AD55" s="128" t="e">
        <f>IF(NFI_Expiration=1,IF(#REF!&lt;VLOOKUP(M$5,NFI,5,0),1,0)*Table_NFI[[#This Row],[Tarpaulin]],Table_NFI[[#This Row],[Tarpaulin]])</f>
        <v>#REF!</v>
      </c>
      <c r="AE55" s="128" t="e">
        <f>IF(NFI_Expiration=1,IF(#REF!&lt;VLOOKUP(N$5,NFI,5,0),1,0)*Table_NFI[[#This Row],[Blanket]],Table_NFI[[#This Row],[Blanket]])</f>
        <v>#REF!</v>
      </c>
      <c r="AF55" s="128" t="e">
        <f>IF(NFI_Expiration=1,IF(#REF!&lt;VLOOKUP(O$5,NFI,5,0),1,0)*Table_NFI[[#This Row],[Kitchen Set]],Table_NFI[Kitchen Set])</f>
        <v>#REF!</v>
      </c>
      <c r="AG55" s="128" t="e">
        <f>IF(NFI_Expiration=1,IF(#REF!&lt;VLOOKUP(P$5,NFI,5,0),1,0)*Table_NFI[[#This Row],[Clothes Kit]],Table_NFI[Clothes Kit])</f>
        <v>#REF!</v>
      </c>
      <c r="AH55" s="128" t="e">
        <f>IF(NFI_Expiration=1,IF(#REF!&lt;VLOOKUP(Q$5,NFI,5,0),1,0)*Table_NFI[[#This Row],[Plastic Bucket]],Table_NFI[Plastic Bucket])</f>
        <v>#REF!</v>
      </c>
      <c r="AI55" s="128" t="e">
        <f>IF(NFI_Expiration=1,IF(#REF!&lt;VLOOKUP(R$5,NFI,5,0),1,0)*Table_NFI[[#This Row],[Plastic Mat]],Table_NFI[Plastic Mat])*IF(Table_NFI[[#This Row],[Distribution Date]]&gt;"2014-04-01",1,2.5)</f>
        <v>#REF!</v>
      </c>
      <c r="AJ55" s="128" t="e">
        <f>IF(NFI_Expiration=1,IF(#REF!&lt;VLOOKUP(S$5,NFI,5,0),1,0)*Table_NFI[[#This Row],[Winter Clothes Adult]],Table_NFI[Winter Clothes Adult])</f>
        <v>#REF!</v>
      </c>
      <c r="AK55" s="128" t="e">
        <f>IF(NFI_Expiration=1,IF(#REF!&lt;VLOOKUP(T$5,NFI,5,0),1,0)*Table_NFI[[#This Row],[Winter Clothes Children]],Table_NFI[Winter Clothes Children])</f>
        <v>#REF!</v>
      </c>
      <c r="AL55" s="128" t="e">
        <f>IF(NFI_Expiration=1,IF(#REF!&lt;VLOOKUP(U$5,NFI,5,0),1,0)*Table_NFI[[#This Row],[Winter Items Other]],Table_NFI[Winter Items Other])</f>
        <v>#REF!</v>
      </c>
      <c r="AM55" s="128" t="e">
        <f>IF(NFI_Expiration=1,IF(#REF!&lt;VLOOKUP(N$5,NFI,5,0),1,0)*Table_NFI[[#This Row],[Winter Blanket]],Table_NFI[[#This Row],[Winter Blanket]])</f>
        <v>#REF!</v>
      </c>
      <c r="AN55" s="128">
        <f>IF(Table_NFI[[#This Row],[Winter Clothes Adult]]+Table_NFI[[#This Row],[Winter Clothes Children]]+Table_NFI[[#This Row],[Winter Items Other]]+Table_NFI[[#This Row],[Winter Blanket]]&gt;0,1,0)</f>
        <v>1</v>
      </c>
      <c r="AO55" s="146" t="e">
        <f>IF(NFI_Expiration=1,IF(#REF!&lt;VLOOKUP(W$5,NFI,5,0),1,0)*Table_NFI[[#This Row],[Jerry Can]],Table_NFI[Jerry Can])</f>
        <v>#REF!</v>
      </c>
      <c r="AP55" s="146" t="e">
        <f>IF(NFI_Expiration=1,IF(#REF!&lt;VLOOKUP(W$5,NFI,5,0),1,0)*Table_NFI[[#This Row],[Shelter Tool kit]],Table_NFI[Shelter Tool kit])</f>
        <v>#REF!</v>
      </c>
      <c r="AQ55" s="146" t="e">
        <f>IF(NFI_Expiration=1,IF(#REF!&lt;VLOOKUP(W$5,NFI,5,0),1,0)*Table_NFI[[#This Row],[Tent]],Table_NFI[Tent])</f>
        <v>#REF!</v>
      </c>
      <c r="AR55" s="220" t="str">
        <f>IFERROR(VLOOKUP(Table_NFI[[#This Row],[Location]],CL,2,0),"")</f>
        <v>MMR001CMP195</v>
      </c>
      <c r="AS55" s="227" t="s">
        <v>1272</v>
      </c>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c r="CZ55" s="222"/>
      <c r="DA55" s="222"/>
      <c r="DB55" s="222"/>
      <c r="DC55" s="222"/>
      <c r="DD55" s="222"/>
      <c r="DE55" s="222"/>
      <c r="DF55" s="222"/>
      <c r="DG55" s="222"/>
      <c r="DH55" s="222"/>
      <c r="DI55" s="222"/>
      <c r="DJ55" s="222"/>
      <c r="DK55" s="222"/>
      <c r="DL55" s="222"/>
      <c r="DM55" s="222"/>
    </row>
    <row r="56" spans="1:117" s="407" customFormat="1" ht="15" customHeight="1" x14ac:dyDescent="0.25">
      <c r="B56" s="748">
        <v>42809</v>
      </c>
      <c r="C56" s="214" t="s">
        <v>420</v>
      </c>
      <c r="D56" s="218" t="s">
        <v>462</v>
      </c>
      <c r="E56" s="218" t="s">
        <v>378</v>
      </c>
      <c r="F56" s="218" t="s">
        <v>27</v>
      </c>
      <c r="G56" s="218" t="s">
        <v>28</v>
      </c>
      <c r="H56" s="218"/>
      <c r="I56" s="126"/>
      <c r="J56" s="126"/>
      <c r="K56" s="126"/>
      <c r="L56" s="126"/>
      <c r="M56" s="126"/>
      <c r="N56" s="126"/>
      <c r="O56" s="126"/>
      <c r="P56" s="126"/>
      <c r="Q56" s="126"/>
      <c r="R56" s="126"/>
      <c r="S56" s="126">
        <v>79</v>
      </c>
      <c r="T56" s="126">
        <v>152</v>
      </c>
      <c r="U56" s="126"/>
      <c r="V56" s="126"/>
      <c r="W56" s="408"/>
      <c r="X56" s="408"/>
      <c r="Y56" s="126"/>
      <c r="Z56" s="126"/>
      <c r="AA56" s="128" t="e">
        <f>IF(NFI_Expiration=1,IF(#REF!&lt;VLOOKUP(J$5,NFI,5,0),1,0)*Table_NFI[[#This Row],[NFI Core Kit]],Table_NFI[NFI Core Kit])</f>
        <v>#REF!</v>
      </c>
      <c r="AB56" s="128" t="e">
        <f>IF(NFI_Expiration=1,IF(#REF!&lt;VLOOKUP(K$5,NFI,5,0),1,0)*Table_NFI[[#This Row],[Sanitary Kit]],Table_NFI[Sanitary Kit])</f>
        <v>#REF!</v>
      </c>
      <c r="AC56" s="128" t="e">
        <f>IF(NFI_Expiration=1,IF(#REF!&lt;VLOOKUP(L$5,NFI,5,0),1,0)*Table_NFI[[#This Row],[Mosquito net]],Table_NFI[Mosquito net])</f>
        <v>#REF!</v>
      </c>
      <c r="AD56" s="128" t="e">
        <f>IF(NFI_Expiration=1,IF(#REF!&lt;VLOOKUP(M$5,NFI,5,0),1,0)*Table_NFI[[#This Row],[Tarpaulin]],Table_NFI[[#This Row],[Tarpaulin]])</f>
        <v>#REF!</v>
      </c>
      <c r="AE56" s="128" t="e">
        <f>IF(NFI_Expiration=1,IF(#REF!&lt;VLOOKUP(N$5,NFI,5,0),1,0)*Table_NFI[[#This Row],[Blanket]],Table_NFI[[#This Row],[Blanket]])</f>
        <v>#REF!</v>
      </c>
      <c r="AF56" s="128" t="e">
        <f>IF(NFI_Expiration=1,IF(#REF!&lt;VLOOKUP(O$5,NFI,5,0),1,0)*Table_NFI[[#This Row],[Kitchen Set]],Table_NFI[Kitchen Set])</f>
        <v>#REF!</v>
      </c>
      <c r="AG56" s="128" t="e">
        <f>IF(NFI_Expiration=1,IF(#REF!&lt;VLOOKUP(P$5,NFI,5,0),1,0)*Table_NFI[[#This Row],[Clothes Kit]],Table_NFI[Clothes Kit])</f>
        <v>#REF!</v>
      </c>
      <c r="AH56" s="128" t="e">
        <f>IF(NFI_Expiration=1,IF(#REF!&lt;VLOOKUP(Q$5,NFI,5,0),1,0)*Table_NFI[[#This Row],[Plastic Bucket]],Table_NFI[Plastic Bucket])</f>
        <v>#REF!</v>
      </c>
      <c r="AI56" s="128" t="e">
        <f>IF(NFI_Expiration=1,IF(#REF!&lt;VLOOKUP(R$5,NFI,5,0),1,0)*Table_NFI[[#This Row],[Plastic Mat]],Table_NFI[Plastic Mat])*IF(Table_NFI[[#This Row],[Distribution Date]]&gt;"2014-04-01",1,2.5)</f>
        <v>#REF!</v>
      </c>
      <c r="AJ56" s="128" t="e">
        <f>IF(NFI_Expiration=1,IF(#REF!&lt;VLOOKUP(S$5,NFI,5,0),1,0)*Table_NFI[[#This Row],[Winter Clothes Adult]],Table_NFI[Winter Clothes Adult])</f>
        <v>#REF!</v>
      </c>
      <c r="AK56" s="128" t="e">
        <f>IF(NFI_Expiration=1,IF(#REF!&lt;VLOOKUP(T$5,NFI,5,0),1,0)*Table_NFI[[#This Row],[Winter Clothes Children]],Table_NFI[Winter Clothes Children])</f>
        <v>#REF!</v>
      </c>
      <c r="AL56" s="128" t="e">
        <f>IF(NFI_Expiration=1,IF(#REF!&lt;VLOOKUP(U$5,NFI,5,0),1,0)*Table_NFI[[#This Row],[Winter Items Other]],Table_NFI[Winter Items Other])</f>
        <v>#REF!</v>
      </c>
      <c r="AM56" s="128" t="e">
        <f>IF(NFI_Expiration=1,IF(#REF!&lt;VLOOKUP(N$5,NFI,5,0),1,0)*Table_NFI[[#This Row],[Winter Blanket]],Table_NFI[[#This Row],[Winter Blanket]])</f>
        <v>#REF!</v>
      </c>
      <c r="AN56" s="128">
        <f>IF(Table_NFI[[#This Row],[Winter Clothes Adult]]+Table_NFI[[#This Row],[Winter Clothes Children]]+Table_NFI[[#This Row],[Winter Items Other]]+Table_NFI[[#This Row],[Winter Blanket]]&gt;0,1,0)</f>
        <v>1</v>
      </c>
      <c r="AO56" s="146" t="e">
        <f>IF(NFI_Expiration=1,IF(#REF!&lt;VLOOKUP(W$5,NFI,5,0),1,0)*Table_NFI[[#This Row],[Jerry Can]],Table_NFI[Jerry Can])</f>
        <v>#REF!</v>
      </c>
      <c r="AP56" s="146" t="e">
        <f>IF(NFI_Expiration=1,IF(#REF!&lt;VLOOKUP(W$5,NFI,5,0),1,0)*Table_NFI[[#This Row],[Shelter Tool kit]],Table_NFI[Shelter Tool kit])</f>
        <v>#REF!</v>
      </c>
      <c r="AQ56" s="146" t="e">
        <f>IF(NFI_Expiration=1,IF(#REF!&lt;VLOOKUP(W$5,NFI,5,0),1,0)*Table_NFI[[#This Row],[Tent]],Table_NFI[Tent])</f>
        <v>#REF!</v>
      </c>
      <c r="AR56" s="220" t="str">
        <f>IFERROR(VLOOKUP(Table_NFI[[#This Row],[Location]],CL,2,0),"")</f>
        <v>MMR001CMP042</v>
      </c>
      <c r="AS56" s="216" t="s">
        <v>1272</v>
      </c>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2"/>
      <c r="DF56" s="222"/>
      <c r="DG56" s="222"/>
      <c r="DH56" s="222"/>
      <c r="DI56" s="222"/>
      <c r="DJ56" s="222"/>
      <c r="DK56" s="222"/>
      <c r="DL56" s="222"/>
      <c r="DM56" s="222"/>
    </row>
    <row r="57" spans="1:117" s="407" customFormat="1" ht="14.45" customHeight="1" x14ac:dyDescent="0.25">
      <c r="B57" s="748">
        <v>42809</v>
      </c>
      <c r="C57" s="214" t="s">
        <v>1567</v>
      </c>
      <c r="D57" s="214" t="s">
        <v>1567</v>
      </c>
      <c r="E57" s="218" t="s">
        <v>378</v>
      </c>
      <c r="F57" s="218" t="s">
        <v>309</v>
      </c>
      <c r="G57" s="218" t="s">
        <v>351</v>
      </c>
      <c r="H57" s="218"/>
      <c r="I57" s="126"/>
      <c r="J57" s="126">
        <v>6</v>
      </c>
      <c r="K57" s="126"/>
      <c r="L57" s="126">
        <v>12</v>
      </c>
      <c r="M57" s="126"/>
      <c r="N57" s="126">
        <v>12</v>
      </c>
      <c r="O57" s="126"/>
      <c r="P57" s="126"/>
      <c r="Q57" s="126"/>
      <c r="R57" s="126">
        <v>12</v>
      </c>
      <c r="S57" s="126"/>
      <c r="T57" s="126"/>
      <c r="U57" s="126"/>
      <c r="V57" s="126"/>
      <c r="W57" s="408"/>
      <c r="X57" s="408"/>
      <c r="Y57" s="126"/>
      <c r="Z57" s="126"/>
      <c r="AA57" s="128" t="e">
        <f>IF(NFI_Expiration=1,IF(#REF!&lt;VLOOKUP(J$5,NFI,5,0),1,0)*Table_NFI[[#This Row],[NFI Core Kit]],Table_NFI[NFI Core Kit])</f>
        <v>#REF!</v>
      </c>
      <c r="AB57" s="128" t="e">
        <f>IF(NFI_Expiration=1,IF(#REF!&lt;VLOOKUP(K$5,NFI,5,0),1,0)*Table_NFI[[#This Row],[Sanitary Kit]],Table_NFI[Sanitary Kit])</f>
        <v>#REF!</v>
      </c>
      <c r="AC57" s="128" t="e">
        <f>IF(NFI_Expiration=1,IF(#REF!&lt;VLOOKUP(L$5,NFI,5,0),1,0)*Table_NFI[[#This Row],[Mosquito net]],Table_NFI[Mosquito net])</f>
        <v>#REF!</v>
      </c>
      <c r="AD57" s="128" t="e">
        <f>IF(NFI_Expiration=1,IF(#REF!&lt;VLOOKUP(M$5,NFI,5,0),1,0)*Table_NFI[[#This Row],[Tarpaulin]],Table_NFI[[#This Row],[Tarpaulin]])</f>
        <v>#REF!</v>
      </c>
      <c r="AE57" s="128" t="e">
        <f>IF(NFI_Expiration=1,IF(#REF!&lt;VLOOKUP(N$5,NFI,5,0),1,0)*Table_NFI[[#This Row],[Blanket]],Table_NFI[[#This Row],[Blanket]])</f>
        <v>#REF!</v>
      </c>
      <c r="AF57" s="128" t="e">
        <f>IF(NFI_Expiration=1,IF(#REF!&lt;VLOOKUP(O$5,NFI,5,0),1,0)*Table_NFI[[#This Row],[Kitchen Set]],Table_NFI[Kitchen Set])</f>
        <v>#REF!</v>
      </c>
      <c r="AG57" s="128" t="e">
        <f>IF(NFI_Expiration=1,IF(#REF!&lt;VLOOKUP(P$5,NFI,5,0),1,0)*Table_NFI[[#This Row],[Clothes Kit]],Table_NFI[Clothes Kit])</f>
        <v>#REF!</v>
      </c>
      <c r="AH57" s="128" t="e">
        <f>IF(NFI_Expiration=1,IF(#REF!&lt;VLOOKUP(Q$5,NFI,5,0),1,0)*Table_NFI[[#This Row],[Plastic Bucket]],Table_NFI[Plastic Bucket])</f>
        <v>#REF!</v>
      </c>
      <c r="AI57" s="128" t="e">
        <f>IF(NFI_Expiration=1,IF(#REF!&lt;VLOOKUP(R$5,NFI,5,0),1,0)*Table_NFI[[#This Row],[Plastic Mat]],Table_NFI[Plastic Mat])*IF(Table_NFI[[#This Row],[Distribution Date]]&gt;"2014-04-01",1,2.5)</f>
        <v>#REF!</v>
      </c>
      <c r="AJ57" s="128" t="e">
        <f>IF(NFI_Expiration=1,IF(#REF!&lt;VLOOKUP(S$5,NFI,5,0),1,0)*Table_NFI[[#This Row],[Winter Clothes Adult]],Table_NFI[Winter Clothes Adult])</f>
        <v>#REF!</v>
      </c>
      <c r="AK57" s="128" t="e">
        <f>IF(NFI_Expiration=1,IF(#REF!&lt;VLOOKUP(T$5,NFI,5,0),1,0)*Table_NFI[[#This Row],[Winter Clothes Children]],Table_NFI[Winter Clothes Children])</f>
        <v>#REF!</v>
      </c>
      <c r="AL57" s="128" t="e">
        <f>IF(NFI_Expiration=1,IF(#REF!&lt;VLOOKUP(U$5,NFI,5,0),1,0)*Table_NFI[[#This Row],[Winter Items Other]],Table_NFI[Winter Items Other])</f>
        <v>#REF!</v>
      </c>
      <c r="AM57" s="128" t="e">
        <f>IF(NFI_Expiration=1,IF(#REF!&lt;VLOOKUP(N$5,NFI,5,0),1,0)*Table_NFI[[#This Row],[Winter Blanket]],Table_NFI[[#This Row],[Winter Blanket]])</f>
        <v>#REF!</v>
      </c>
      <c r="AN57" s="128">
        <f>IF(Table_NFI[[#This Row],[Winter Clothes Adult]]+Table_NFI[[#This Row],[Winter Clothes Children]]+Table_NFI[[#This Row],[Winter Items Other]]+Table_NFI[[#This Row],[Winter Blanket]]&gt;0,1,0)</f>
        <v>0</v>
      </c>
      <c r="AO57" s="146" t="e">
        <f>IF(NFI_Expiration=1,IF(#REF!&lt;VLOOKUP(W$5,NFI,5,0),1,0)*Table_NFI[[#This Row],[Jerry Can]],Table_NFI[Jerry Can])</f>
        <v>#REF!</v>
      </c>
      <c r="AP57" s="146" t="e">
        <f>IF(NFI_Expiration=1,IF(#REF!&lt;VLOOKUP(W$5,NFI,5,0),1,0)*Table_NFI[[#This Row],[Shelter Tool kit]],Table_NFI[Shelter Tool kit])</f>
        <v>#REF!</v>
      </c>
      <c r="AQ57" s="146" t="e">
        <f>IF(NFI_Expiration=1,IF(#REF!&lt;VLOOKUP(W$5,NFI,5,0),1,0)*Table_NFI[[#This Row],[Tent]],Table_NFI[Tent])</f>
        <v>#REF!</v>
      </c>
      <c r="AR57" s="220" t="str">
        <f>IFERROR(VLOOKUP(Table_NFI[[#This Row],[Location]],CL,2,0),"")</f>
        <v>MMR001CMP116</v>
      </c>
      <c r="AS57" s="221" t="s">
        <v>1293</v>
      </c>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c r="CN57" s="222"/>
      <c r="CO57" s="222"/>
      <c r="CP57" s="222"/>
      <c r="CQ57" s="222"/>
      <c r="CR57" s="222"/>
      <c r="CS57" s="222"/>
      <c r="CT57" s="222"/>
      <c r="CU57" s="222"/>
      <c r="CV57" s="222"/>
      <c r="CW57" s="222"/>
      <c r="CX57" s="222"/>
      <c r="CY57" s="222"/>
      <c r="CZ57" s="222"/>
      <c r="DA57" s="222"/>
      <c r="DB57" s="222"/>
      <c r="DC57" s="222"/>
      <c r="DD57" s="222"/>
      <c r="DE57" s="222"/>
      <c r="DF57" s="222"/>
      <c r="DG57" s="222"/>
      <c r="DH57" s="222"/>
      <c r="DI57" s="222"/>
      <c r="DJ57" s="222"/>
      <c r="DK57" s="222"/>
      <c r="DL57" s="222"/>
      <c r="DM57" s="222"/>
    </row>
    <row r="58" spans="1:117" s="407" customFormat="1" ht="15" customHeight="1" x14ac:dyDescent="0.25">
      <c r="B58" s="748">
        <v>42808</v>
      </c>
      <c r="C58" s="214" t="s">
        <v>1567</v>
      </c>
      <c r="D58" s="214" t="s">
        <v>1567</v>
      </c>
      <c r="E58" s="218" t="s">
        <v>378</v>
      </c>
      <c r="F58" s="218" t="s">
        <v>185</v>
      </c>
      <c r="G58" s="218" t="s">
        <v>194</v>
      </c>
      <c r="H58" s="218"/>
      <c r="I58" s="126"/>
      <c r="J58" s="126">
        <v>8</v>
      </c>
      <c r="K58" s="126"/>
      <c r="L58" s="126">
        <v>16</v>
      </c>
      <c r="M58" s="126"/>
      <c r="N58" s="126">
        <v>16</v>
      </c>
      <c r="O58" s="126"/>
      <c r="P58" s="126"/>
      <c r="Q58" s="126"/>
      <c r="R58" s="126">
        <v>16</v>
      </c>
      <c r="S58" s="126"/>
      <c r="T58" s="126"/>
      <c r="U58" s="126"/>
      <c r="V58" s="126"/>
      <c r="W58" s="408"/>
      <c r="X58" s="408"/>
      <c r="Y58" s="126"/>
      <c r="Z58" s="126"/>
      <c r="AA58" s="128" t="e">
        <f>IF(NFI_Expiration=1,IF(#REF!&lt;VLOOKUP(J$5,NFI,5,0),1,0)*Table_NFI[[#This Row],[NFI Core Kit]],Table_NFI[NFI Core Kit])</f>
        <v>#REF!</v>
      </c>
      <c r="AB58" s="128" t="e">
        <f>IF(NFI_Expiration=1,IF(#REF!&lt;VLOOKUP(K$5,NFI,5,0),1,0)*Table_NFI[[#This Row],[Sanitary Kit]],Table_NFI[Sanitary Kit])</f>
        <v>#REF!</v>
      </c>
      <c r="AC58" s="128" t="e">
        <f>IF(NFI_Expiration=1,IF(#REF!&lt;VLOOKUP(L$5,NFI,5,0),1,0)*Table_NFI[[#This Row],[Mosquito net]],Table_NFI[Mosquito net])</f>
        <v>#REF!</v>
      </c>
      <c r="AD58" s="128" t="e">
        <f>IF(NFI_Expiration=1,IF(#REF!&lt;VLOOKUP(M$5,NFI,5,0),1,0)*Table_NFI[[#This Row],[Tarpaulin]],Table_NFI[[#This Row],[Tarpaulin]])</f>
        <v>#REF!</v>
      </c>
      <c r="AE58" s="128" t="e">
        <f>IF(NFI_Expiration=1,IF(#REF!&lt;VLOOKUP(N$5,NFI,5,0),1,0)*Table_NFI[[#This Row],[Blanket]],Table_NFI[[#This Row],[Blanket]])</f>
        <v>#REF!</v>
      </c>
      <c r="AF58" s="128" t="e">
        <f>IF(NFI_Expiration=1,IF(#REF!&lt;VLOOKUP(O$5,NFI,5,0),1,0)*Table_NFI[[#This Row],[Kitchen Set]],Table_NFI[Kitchen Set])</f>
        <v>#REF!</v>
      </c>
      <c r="AG58" s="128" t="e">
        <f>IF(NFI_Expiration=1,IF(#REF!&lt;VLOOKUP(P$5,NFI,5,0),1,0)*Table_NFI[[#This Row],[Clothes Kit]],Table_NFI[Clothes Kit])</f>
        <v>#REF!</v>
      </c>
      <c r="AH58" s="128" t="e">
        <f>IF(NFI_Expiration=1,IF(#REF!&lt;VLOOKUP(Q$5,NFI,5,0),1,0)*Table_NFI[[#This Row],[Plastic Bucket]],Table_NFI[Plastic Bucket])</f>
        <v>#REF!</v>
      </c>
      <c r="AI58" s="128" t="e">
        <f>IF(NFI_Expiration=1,IF(#REF!&lt;VLOOKUP(R$5,NFI,5,0),1,0)*Table_NFI[[#This Row],[Plastic Mat]],Table_NFI[Plastic Mat])*IF(Table_NFI[[#This Row],[Distribution Date]]&gt;"2014-04-01",1,2.5)</f>
        <v>#REF!</v>
      </c>
      <c r="AJ58" s="128" t="e">
        <f>IF(NFI_Expiration=1,IF(#REF!&lt;VLOOKUP(S$5,NFI,5,0),1,0)*Table_NFI[[#This Row],[Winter Clothes Adult]],Table_NFI[Winter Clothes Adult])</f>
        <v>#REF!</v>
      </c>
      <c r="AK58" s="128" t="e">
        <f>IF(NFI_Expiration=1,IF(#REF!&lt;VLOOKUP(T$5,NFI,5,0),1,0)*Table_NFI[[#This Row],[Winter Clothes Children]],Table_NFI[Winter Clothes Children])</f>
        <v>#REF!</v>
      </c>
      <c r="AL58" s="128" t="e">
        <f>IF(NFI_Expiration=1,IF(#REF!&lt;VLOOKUP(U$5,NFI,5,0),1,0)*Table_NFI[[#This Row],[Winter Items Other]],Table_NFI[Winter Items Other])</f>
        <v>#REF!</v>
      </c>
      <c r="AM58" s="128" t="e">
        <f>IF(NFI_Expiration=1,IF(#REF!&lt;VLOOKUP(N$5,NFI,5,0),1,0)*Table_NFI[[#This Row],[Winter Blanket]],Table_NFI[[#This Row],[Winter Blanket]])</f>
        <v>#REF!</v>
      </c>
      <c r="AN58" s="128">
        <f>IF(Table_NFI[[#This Row],[Winter Clothes Adult]]+Table_NFI[[#This Row],[Winter Clothes Children]]+Table_NFI[[#This Row],[Winter Items Other]]+Table_NFI[[#This Row],[Winter Blanket]]&gt;0,1,0)</f>
        <v>0</v>
      </c>
      <c r="AO58" s="146" t="e">
        <f>IF(NFI_Expiration=1,IF(#REF!&lt;VLOOKUP(W$5,NFI,5,0),1,0)*Table_NFI[[#This Row],[Jerry Can]],Table_NFI[Jerry Can])</f>
        <v>#REF!</v>
      </c>
      <c r="AP58" s="146" t="e">
        <f>IF(NFI_Expiration=1,IF(#REF!&lt;VLOOKUP(W$5,NFI,5,0),1,0)*Table_NFI[[#This Row],[Shelter Tool kit]],Table_NFI[Shelter Tool kit])</f>
        <v>#REF!</v>
      </c>
      <c r="AQ58" s="146" t="e">
        <f>IF(NFI_Expiration=1,IF(#REF!&lt;VLOOKUP(W$5,NFI,5,0),1,0)*Table_NFI[[#This Row],[Tent]],Table_NFI[Tent])</f>
        <v>#REF!</v>
      </c>
      <c r="AR58" s="220" t="str">
        <f>IFERROR(VLOOKUP(Table_NFI[[#This Row],[Location]],CL,2,0),"")</f>
        <v>MMR001CMP122</v>
      </c>
      <c r="AS58" s="221" t="s">
        <v>1293</v>
      </c>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22"/>
      <c r="DB58" s="222"/>
      <c r="DC58" s="222"/>
      <c r="DD58" s="222"/>
      <c r="DE58" s="222"/>
      <c r="DF58" s="222"/>
      <c r="DG58" s="222"/>
      <c r="DH58" s="222"/>
      <c r="DI58" s="222"/>
      <c r="DJ58" s="222"/>
      <c r="DK58" s="222"/>
      <c r="DL58" s="222"/>
      <c r="DM58" s="222"/>
    </row>
    <row r="59" spans="1:117" s="217" customFormat="1" ht="16.5" customHeight="1" x14ac:dyDescent="0.25">
      <c r="A59" s="407"/>
      <c r="B59" s="748">
        <v>42808</v>
      </c>
      <c r="C59" s="214" t="s">
        <v>1567</v>
      </c>
      <c r="D59" s="214" t="s">
        <v>1567</v>
      </c>
      <c r="E59" s="218" t="s">
        <v>378</v>
      </c>
      <c r="F59" s="218" t="s">
        <v>309</v>
      </c>
      <c r="G59" s="218" t="s">
        <v>196</v>
      </c>
      <c r="H59" s="218"/>
      <c r="I59" s="126"/>
      <c r="J59" s="126">
        <v>6</v>
      </c>
      <c r="K59" s="126"/>
      <c r="L59" s="126">
        <v>12</v>
      </c>
      <c r="M59" s="126"/>
      <c r="N59" s="126">
        <v>12</v>
      </c>
      <c r="O59" s="126"/>
      <c r="P59" s="126"/>
      <c r="Q59" s="126"/>
      <c r="R59" s="126">
        <v>12</v>
      </c>
      <c r="S59" s="126"/>
      <c r="T59" s="126"/>
      <c r="U59" s="126"/>
      <c r="V59" s="126"/>
      <c r="W59" s="408"/>
      <c r="X59" s="408"/>
      <c r="Y59" s="126"/>
      <c r="Z59" s="126"/>
      <c r="AA59" s="128" t="e">
        <f>IF(NFI_Expiration=1,IF(#REF!&lt;VLOOKUP(J$5,NFI,5,0),1,0)*Table_NFI[[#This Row],[NFI Core Kit]],Table_NFI[NFI Core Kit])</f>
        <v>#REF!</v>
      </c>
      <c r="AB59" s="128" t="e">
        <f>IF(NFI_Expiration=1,IF(#REF!&lt;VLOOKUP(K$5,NFI,5,0),1,0)*Table_NFI[[#This Row],[Sanitary Kit]],Table_NFI[Sanitary Kit])</f>
        <v>#REF!</v>
      </c>
      <c r="AC59" s="128" t="e">
        <f>IF(NFI_Expiration=1,IF(#REF!&lt;VLOOKUP(L$5,NFI,5,0),1,0)*Table_NFI[[#This Row],[Mosquito net]],Table_NFI[Mosquito net])</f>
        <v>#REF!</v>
      </c>
      <c r="AD59" s="128" t="e">
        <f>IF(NFI_Expiration=1,IF(#REF!&lt;VLOOKUP(M$5,NFI,5,0),1,0)*Table_NFI[[#This Row],[Tarpaulin]],Table_NFI[[#This Row],[Tarpaulin]])</f>
        <v>#REF!</v>
      </c>
      <c r="AE59" s="128" t="e">
        <f>IF(NFI_Expiration=1,IF(#REF!&lt;VLOOKUP(N$5,NFI,5,0),1,0)*Table_NFI[[#This Row],[Blanket]],Table_NFI[[#This Row],[Blanket]])</f>
        <v>#REF!</v>
      </c>
      <c r="AF59" s="128" t="e">
        <f>IF(NFI_Expiration=1,IF(#REF!&lt;VLOOKUP(O$5,NFI,5,0),1,0)*Table_NFI[[#This Row],[Kitchen Set]],Table_NFI[Kitchen Set])</f>
        <v>#REF!</v>
      </c>
      <c r="AG59" s="128" t="e">
        <f>IF(NFI_Expiration=1,IF(#REF!&lt;VLOOKUP(P$5,NFI,5,0),1,0)*Table_NFI[[#This Row],[Clothes Kit]],Table_NFI[Clothes Kit])</f>
        <v>#REF!</v>
      </c>
      <c r="AH59" s="128" t="e">
        <f>IF(NFI_Expiration=1,IF(#REF!&lt;VLOOKUP(Q$5,NFI,5,0),1,0)*Table_NFI[[#This Row],[Plastic Bucket]],Table_NFI[Plastic Bucket])</f>
        <v>#REF!</v>
      </c>
      <c r="AI59" s="128" t="e">
        <f>IF(NFI_Expiration=1,IF(#REF!&lt;VLOOKUP(R$5,NFI,5,0),1,0)*Table_NFI[[#This Row],[Plastic Mat]],Table_NFI[Plastic Mat])*IF(Table_NFI[[#This Row],[Distribution Date]]&gt;"2014-04-01",1,2.5)</f>
        <v>#REF!</v>
      </c>
      <c r="AJ59" s="128" t="e">
        <f>IF(NFI_Expiration=1,IF(#REF!&lt;VLOOKUP(S$5,NFI,5,0),1,0)*Table_NFI[[#This Row],[Winter Clothes Adult]],Table_NFI[Winter Clothes Adult])</f>
        <v>#REF!</v>
      </c>
      <c r="AK59" s="128" t="e">
        <f>IF(NFI_Expiration=1,IF(#REF!&lt;VLOOKUP(T$5,NFI,5,0),1,0)*Table_NFI[[#This Row],[Winter Clothes Children]],Table_NFI[Winter Clothes Children])</f>
        <v>#REF!</v>
      </c>
      <c r="AL59" s="128" t="e">
        <f>IF(NFI_Expiration=1,IF(#REF!&lt;VLOOKUP(U$5,NFI,5,0),1,0)*Table_NFI[[#This Row],[Winter Items Other]],Table_NFI[Winter Items Other])</f>
        <v>#REF!</v>
      </c>
      <c r="AM59" s="128" t="e">
        <f>IF(NFI_Expiration=1,IF(#REF!&lt;VLOOKUP(N$5,NFI,5,0),1,0)*Table_NFI[[#This Row],[Winter Blanket]],Table_NFI[[#This Row],[Winter Blanket]])</f>
        <v>#REF!</v>
      </c>
      <c r="AN59" s="128">
        <f>IF(Table_NFI[[#This Row],[Winter Clothes Adult]]+Table_NFI[[#This Row],[Winter Clothes Children]]+Table_NFI[[#This Row],[Winter Items Other]]+Table_NFI[[#This Row],[Winter Blanket]]&gt;0,1,0)</f>
        <v>0</v>
      </c>
      <c r="AO59" s="146" t="e">
        <f>IF(NFI_Expiration=1,IF(#REF!&lt;VLOOKUP(W$5,NFI,5,0),1,0)*Table_NFI[[#This Row],[Jerry Can]],Table_NFI[Jerry Can])</f>
        <v>#REF!</v>
      </c>
      <c r="AP59" s="146" t="e">
        <f>IF(NFI_Expiration=1,IF(#REF!&lt;VLOOKUP(W$5,NFI,5,0),1,0)*Table_NFI[[#This Row],[Shelter Tool kit]],Table_NFI[Shelter Tool kit])</f>
        <v>#REF!</v>
      </c>
      <c r="AQ59" s="146" t="e">
        <f>IF(NFI_Expiration=1,IF(#REF!&lt;VLOOKUP(W$5,NFI,5,0),1,0)*Table_NFI[[#This Row],[Tent]],Table_NFI[Tent])</f>
        <v>#REF!</v>
      </c>
      <c r="AR59" s="220" t="str">
        <f>IFERROR(VLOOKUP(Table_NFI[[#This Row],[Location]],CL,2,0),"")</f>
        <v>MMR001CMP121</v>
      </c>
      <c r="AS59" s="221" t="s">
        <v>1293</v>
      </c>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c r="CZ59" s="222"/>
      <c r="DA59" s="222"/>
      <c r="DB59" s="222"/>
      <c r="DC59" s="222"/>
      <c r="DD59" s="222"/>
      <c r="DE59" s="222"/>
      <c r="DF59" s="222"/>
      <c r="DG59" s="222"/>
      <c r="DH59" s="222"/>
      <c r="DI59" s="222"/>
      <c r="DJ59" s="222"/>
      <c r="DK59" s="222"/>
      <c r="DL59" s="222"/>
      <c r="DM59" s="222"/>
    </row>
    <row r="60" spans="1:117" s="407" customFormat="1" ht="14.45" customHeight="1" x14ac:dyDescent="0.25">
      <c r="B60" s="748">
        <v>42795</v>
      </c>
      <c r="C60" s="214" t="s">
        <v>1567</v>
      </c>
      <c r="D60" s="214" t="s">
        <v>1567</v>
      </c>
      <c r="E60" s="218" t="s">
        <v>378</v>
      </c>
      <c r="F60" s="218" t="s">
        <v>309</v>
      </c>
      <c r="G60" s="218" t="s">
        <v>1290</v>
      </c>
      <c r="H60" s="218"/>
      <c r="I60" s="126">
        <v>55</v>
      </c>
      <c r="J60" s="126"/>
      <c r="K60" s="126">
        <v>495</v>
      </c>
      <c r="L60" s="126"/>
      <c r="M60" s="126"/>
      <c r="N60" s="126"/>
      <c r="O60" s="126"/>
      <c r="P60" s="126"/>
      <c r="Q60" s="126">
        <v>55</v>
      </c>
      <c r="R60" s="126"/>
      <c r="S60" s="126"/>
      <c r="T60" s="126"/>
      <c r="U60" s="126"/>
      <c r="V60" s="126"/>
      <c r="W60" s="408">
        <v>55</v>
      </c>
      <c r="X60" s="408"/>
      <c r="Y60" s="126"/>
      <c r="Z60" s="126"/>
      <c r="AA60" s="128" t="e">
        <f>IF(NFI_Expiration=1,IF(#REF!&lt;VLOOKUP(J$5,NFI,5,0),1,0)*Table_NFI[[#This Row],[NFI Core Kit]],Table_NFI[NFI Core Kit])</f>
        <v>#REF!</v>
      </c>
      <c r="AB60" s="128" t="e">
        <f>IF(NFI_Expiration=1,IF(#REF!&lt;VLOOKUP(K$5,NFI,5,0),1,0)*Table_NFI[[#This Row],[Sanitary Kit]],Table_NFI[Sanitary Kit])</f>
        <v>#REF!</v>
      </c>
      <c r="AC60" s="128" t="e">
        <f>IF(NFI_Expiration=1,IF(#REF!&lt;VLOOKUP(L$5,NFI,5,0),1,0)*Table_NFI[[#This Row],[Mosquito net]],Table_NFI[Mosquito net])</f>
        <v>#REF!</v>
      </c>
      <c r="AD60" s="128" t="e">
        <f>IF(NFI_Expiration=1,IF(#REF!&lt;VLOOKUP(M$5,NFI,5,0),1,0)*Table_NFI[[#This Row],[Tarpaulin]],Table_NFI[[#This Row],[Tarpaulin]])</f>
        <v>#REF!</v>
      </c>
      <c r="AE60" s="128" t="e">
        <f>IF(NFI_Expiration=1,IF(#REF!&lt;VLOOKUP(N$5,NFI,5,0),1,0)*Table_NFI[[#This Row],[Blanket]],Table_NFI[[#This Row],[Blanket]])</f>
        <v>#REF!</v>
      </c>
      <c r="AF60" s="128" t="e">
        <f>IF(NFI_Expiration=1,IF(#REF!&lt;VLOOKUP(O$5,NFI,5,0),1,0)*Table_NFI[[#This Row],[Kitchen Set]],Table_NFI[Kitchen Set])</f>
        <v>#REF!</v>
      </c>
      <c r="AG60" s="128" t="e">
        <f>IF(NFI_Expiration=1,IF(#REF!&lt;VLOOKUP(P$5,NFI,5,0),1,0)*Table_NFI[[#This Row],[Clothes Kit]],Table_NFI[Clothes Kit])</f>
        <v>#REF!</v>
      </c>
      <c r="AH60" s="128" t="e">
        <f>IF(NFI_Expiration=1,IF(#REF!&lt;VLOOKUP(Q$5,NFI,5,0),1,0)*Table_NFI[[#This Row],[Plastic Bucket]],Table_NFI[Plastic Bucket])</f>
        <v>#REF!</v>
      </c>
      <c r="AI60" s="128" t="e">
        <f>IF(NFI_Expiration=1,IF(#REF!&lt;VLOOKUP(R$5,NFI,5,0),1,0)*Table_NFI[[#This Row],[Plastic Mat]],Table_NFI[Plastic Mat])*IF(Table_NFI[[#This Row],[Distribution Date]]&gt;"2014-04-01",1,2.5)</f>
        <v>#REF!</v>
      </c>
      <c r="AJ60" s="128" t="e">
        <f>IF(NFI_Expiration=1,IF(#REF!&lt;VLOOKUP(S$5,NFI,5,0),1,0)*Table_NFI[[#This Row],[Winter Clothes Adult]],Table_NFI[Winter Clothes Adult])</f>
        <v>#REF!</v>
      </c>
      <c r="AK60" s="128" t="e">
        <f>IF(NFI_Expiration=1,IF(#REF!&lt;VLOOKUP(T$5,NFI,5,0),1,0)*Table_NFI[[#This Row],[Winter Clothes Children]],Table_NFI[Winter Clothes Children])</f>
        <v>#REF!</v>
      </c>
      <c r="AL60" s="128" t="e">
        <f>IF(NFI_Expiration=1,IF(#REF!&lt;VLOOKUP(U$5,NFI,5,0),1,0)*Table_NFI[[#This Row],[Winter Items Other]],Table_NFI[Winter Items Other])</f>
        <v>#REF!</v>
      </c>
      <c r="AM60" s="128" t="e">
        <f>IF(NFI_Expiration=1,IF(#REF!&lt;VLOOKUP(N$5,NFI,5,0),1,0)*Table_NFI[[#This Row],[Winter Blanket]],Table_NFI[[#This Row],[Winter Blanket]])</f>
        <v>#REF!</v>
      </c>
      <c r="AN60" s="128">
        <f>IF(Table_NFI[[#This Row],[Winter Clothes Adult]]+Table_NFI[[#This Row],[Winter Clothes Children]]+Table_NFI[[#This Row],[Winter Items Other]]+Table_NFI[[#This Row],[Winter Blanket]]&gt;0,1,0)</f>
        <v>0</v>
      </c>
      <c r="AO60" s="146" t="e">
        <f>IF(NFI_Expiration=1,IF(#REF!&lt;VLOOKUP(W$5,NFI,5,0),1,0)*Table_NFI[[#This Row],[Jerry Can]],Table_NFI[Jerry Can])</f>
        <v>#REF!</v>
      </c>
      <c r="AP60" s="146" t="e">
        <f>IF(NFI_Expiration=1,IF(#REF!&lt;VLOOKUP(W$5,NFI,5,0),1,0)*Table_NFI[[#This Row],[Shelter Tool kit]],Table_NFI[Shelter Tool kit])</f>
        <v>#REF!</v>
      </c>
      <c r="AQ60" s="146" t="e">
        <f>IF(NFI_Expiration=1,IF(#REF!&lt;VLOOKUP(W$5,NFI,5,0),1,0)*Table_NFI[[#This Row],[Tent]],Table_NFI[Tent])</f>
        <v>#REF!</v>
      </c>
      <c r="AR60" s="220" t="str">
        <f>IFERROR(VLOOKUP(Table_NFI[[#This Row],[Location]],CL,2,0),"")</f>
        <v>MMR001CMP248</v>
      </c>
      <c r="AS60" s="221" t="s">
        <v>1293</v>
      </c>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row>
    <row r="61" spans="1:117" s="407" customFormat="1" ht="15" customHeight="1" x14ac:dyDescent="0.25">
      <c r="B61" s="748">
        <v>42795</v>
      </c>
      <c r="C61" s="214" t="s">
        <v>1567</v>
      </c>
      <c r="D61" s="214" t="s">
        <v>1567</v>
      </c>
      <c r="E61" s="218" t="s">
        <v>378</v>
      </c>
      <c r="F61" s="218" t="s">
        <v>309</v>
      </c>
      <c r="G61" s="218" t="s">
        <v>1295</v>
      </c>
      <c r="H61" s="218"/>
      <c r="I61" s="126">
        <v>91</v>
      </c>
      <c r="J61" s="126">
        <v>92</v>
      </c>
      <c r="K61" s="126">
        <v>546</v>
      </c>
      <c r="L61" s="126">
        <v>184</v>
      </c>
      <c r="M61" s="126">
        <v>170</v>
      </c>
      <c r="N61" s="126">
        <v>184</v>
      </c>
      <c r="O61" s="126"/>
      <c r="P61" s="126"/>
      <c r="Q61" s="126">
        <v>91</v>
      </c>
      <c r="R61" s="126">
        <v>184</v>
      </c>
      <c r="S61" s="126"/>
      <c r="T61" s="126"/>
      <c r="U61" s="126"/>
      <c r="V61" s="126"/>
      <c r="W61" s="408">
        <v>91</v>
      </c>
      <c r="X61" s="408"/>
      <c r="Y61" s="126">
        <v>85</v>
      </c>
      <c r="Z61" s="126"/>
      <c r="AA61" s="128" t="e">
        <f>IF(NFI_Expiration=1,IF(#REF!&lt;VLOOKUP(J$5,NFI,5,0),1,0)*Table_NFI[[#This Row],[NFI Core Kit]],Table_NFI[NFI Core Kit])</f>
        <v>#REF!</v>
      </c>
      <c r="AB61" s="128" t="e">
        <f>IF(NFI_Expiration=1,IF(#REF!&lt;VLOOKUP(K$5,NFI,5,0),1,0)*Table_NFI[[#This Row],[Sanitary Kit]],Table_NFI[Sanitary Kit])</f>
        <v>#REF!</v>
      </c>
      <c r="AC61" s="128" t="e">
        <f>IF(NFI_Expiration=1,IF(#REF!&lt;VLOOKUP(L$5,NFI,5,0),1,0)*Table_NFI[[#This Row],[Mosquito net]],Table_NFI[Mosquito net])</f>
        <v>#REF!</v>
      </c>
      <c r="AD61" s="128" t="e">
        <f>IF(NFI_Expiration=1,IF(#REF!&lt;VLOOKUP(M$5,NFI,5,0),1,0)*Table_NFI[[#This Row],[Tarpaulin]],Table_NFI[[#This Row],[Tarpaulin]])</f>
        <v>#REF!</v>
      </c>
      <c r="AE61" s="128" t="e">
        <f>IF(NFI_Expiration=1,IF(#REF!&lt;VLOOKUP(N$5,NFI,5,0),1,0)*Table_NFI[[#This Row],[Blanket]],Table_NFI[[#This Row],[Blanket]])</f>
        <v>#REF!</v>
      </c>
      <c r="AF61" s="128" t="e">
        <f>IF(NFI_Expiration=1,IF(#REF!&lt;VLOOKUP(O$5,NFI,5,0),1,0)*Table_NFI[[#This Row],[Kitchen Set]],Table_NFI[Kitchen Set])</f>
        <v>#REF!</v>
      </c>
      <c r="AG61" s="128" t="e">
        <f>IF(NFI_Expiration=1,IF(#REF!&lt;VLOOKUP(P$5,NFI,5,0),1,0)*Table_NFI[[#This Row],[Clothes Kit]],Table_NFI[Clothes Kit])</f>
        <v>#REF!</v>
      </c>
      <c r="AH61" s="128" t="e">
        <f>IF(NFI_Expiration=1,IF(#REF!&lt;VLOOKUP(Q$5,NFI,5,0),1,0)*Table_NFI[[#This Row],[Plastic Bucket]],Table_NFI[Plastic Bucket])</f>
        <v>#REF!</v>
      </c>
      <c r="AI61" s="128" t="e">
        <f>IF(NFI_Expiration=1,IF(#REF!&lt;VLOOKUP(R$5,NFI,5,0),1,0)*Table_NFI[[#This Row],[Plastic Mat]],Table_NFI[Plastic Mat])*IF(Table_NFI[[#This Row],[Distribution Date]]&gt;"2014-04-01",1,2.5)</f>
        <v>#REF!</v>
      </c>
      <c r="AJ61" s="128" t="e">
        <f>IF(NFI_Expiration=1,IF(#REF!&lt;VLOOKUP(S$5,NFI,5,0),1,0)*Table_NFI[[#This Row],[Winter Clothes Adult]],Table_NFI[Winter Clothes Adult])</f>
        <v>#REF!</v>
      </c>
      <c r="AK61" s="128" t="e">
        <f>IF(NFI_Expiration=1,IF(#REF!&lt;VLOOKUP(T$5,NFI,5,0),1,0)*Table_NFI[[#This Row],[Winter Clothes Children]],Table_NFI[Winter Clothes Children])</f>
        <v>#REF!</v>
      </c>
      <c r="AL61" s="128" t="e">
        <f>IF(NFI_Expiration=1,IF(#REF!&lt;VLOOKUP(U$5,NFI,5,0),1,0)*Table_NFI[[#This Row],[Winter Items Other]],Table_NFI[Winter Items Other])</f>
        <v>#REF!</v>
      </c>
      <c r="AM61" s="128" t="e">
        <f>IF(NFI_Expiration=1,IF(#REF!&lt;VLOOKUP(N$5,NFI,5,0),1,0)*Table_NFI[[#This Row],[Winter Blanket]],Table_NFI[[#This Row],[Winter Blanket]])</f>
        <v>#REF!</v>
      </c>
      <c r="AN61" s="128">
        <f>IF(Table_NFI[[#This Row],[Winter Clothes Adult]]+Table_NFI[[#This Row],[Winter Clothes Children]]+Table_NFI[[#This Row],[Winter Items Other]]+Table_NFI[[#This Row],[Winter Blanket]]&gt;0,1,0)</f>
        <v>0</v>
      </c>
      <c r="AO61" s="146" t="e">
        <f>IF(NFI_Expiration=1,IF(#REF!&lt;VLOOKUP(W$5,NFI,5,0),1,0)*Table_NFI[[#This Row],[Jerry Can]],Table_NFI[Jerry Can])</f>
        <v>#REF!</v>
      </c>
      <c r="AP61" s="146" t="e">
        <f>IF(NFI_Expiration=1,IF(#REF!&lt;VLOOKUP(W$5,NFI,5,0),1,0)*Table_NFI[[#This Row],[Shelter Tool kit]],Table_NFI[Shelter Tool kit])</f>
        <v>#REF!</v>
      </c>
      <c r="AQ61" s="146" t="e">
        <f>IF(NFI_Expiration=1,IF(#REF!&lt;VLOOKUP(W$5,NFI,5,0),1,0)*Table_NFI[[#This Row],[Tent]],Table_NFI[Tent])</f>
        <v>#REF!</v>
      </c>
      <c r="AR61" s="220" t="str">
        <f>IFERROR(VLOOKUP(Table_NFI[[#This Row],[Location]],CL,2,0),"")</f>
        <v/>
      </c>
      <c r="AS61" s="221" t="s">
        <v>1298</v>
      </c>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row>
    <row r="62" spans="1:117" s="407" customFormat="1" ht="15" customHeight="1" x14ac:dyDescent="0.25">
      <c r="B62" s="748">
        <v>42782</v>
      </c>
      <c r="C62" s="218" t="s">
        <v>420</v>
      </c>
      <c r="D62" s="218" t="s">
        <v>424</v>
      </c>
      <c r="E62" s="218" t="s">
        <v>378</v>
      </c>
      <c r="F62" s="218" t="s">
        <v>481</v>
      </c>
      <c r="G62" s="218" t="s">
        <v>1188</v>
      </c>
      <c r="H62" s="218"/>
      <c r="I62" s="126"/>
      <c r="J62" s="126"/>
      <c r="K62" s="126"/>
      <c r="L62" s="126"/>
      <c r="M62" s="126"/>
      <c r="N62" s="126"/>
      <c r="O62" s="126"/>
      <c r="P62" s="126"/>
      <c r="Q62" s="126"/>
      <c r="R62" s="126"/>
      <c r="S62" s="126">
        <v>62</v>
      </c>
      <c r="T62" s="126">
        <v>33</v>
      </c>
      <c r="U62" s="126"/>
      <c r="V62" s="126"/>
      <c r="W62" s="408"/>
      <c r="X62" s="408"/>
      <c r="Y62" s="126"/>
      <c r="Z62" s="126"/>
      <c r="AA62" s="128" t="e">
        <f>IF(NFI_Expiration=1,IF(#REF!&lt;VLOOKUP(J$5,NFI,5,0),1,0)*Table_NFI[[#This Row],[NFI Core Kit]],Table_NFI[NFI Core Kit])</f>
        <v>#REF!</v>
      </c>
      <c r="AB62" s="128" t="e">
        <f>IF(NFI_Expiration=1,IF(#REF!&lt;VLOOKUP(K$5,NFI,5,0),1,0)*Table_NFI[[#This Row],[Sanitary Kit]],Table_NFI[Sanitary Kit])</f>
        <v>#REF!</v>
      </c>
      <c r="AC62" s="128" t="e">
        <f>IF(NFI_Expiration=1,IF(#REF!&lt;VLOOKUP(L$5,NFI,5,0),1,0)*Table_NFI[[#This Row],[Mosquito net]],Table_NFI[Mosquito net])</f>
        <v>#REF!</v>
      </c>
      <c r="AD62" s="128" t="e">
        <f>IF(NFI_Expiration=1,IF(#REF!&lt;VLOOKUP(M$5,NFI,5,0),1,0)*Table_NFI[[#This Row],[Tarpaulin]],Table_NFI[[#This Row],[Tarpaulin]])</f>
        <v>#REF!</v>
      </c>
      <c r="AE62" s="128" t="e">
        <f>IF(NFI_Expiration=1,IF(#REF!&lt;VLOOKUP(N$5,NFI,5,0),1,0)*Table_NFI[[#This Row],[Blanket]],Table_NFI[[#This Row],[Blanket]])</f>
        <v>#REF!</v>
      </c>
      <c r="AF62" s="128" t="e">
        <f>IF(NFI_Expiration=1,IF(#REF!&lt;VLOOKUP(O$5,NFI,5,0),1,0)*Table_NFI[[#This Row],[Kitchen Set]],Table_NFI[Kitchen Set])</f>
        <v>#REF!</v>
      </c>
      <c r="AG62" s="128" t="e">
        <f>IF(NFI_Expiration=1,IF(#REF!&lt;VLOOKUP(P$5,NFI,5,0),1,0)*Table_NFI[[#This Row],[Clothes Kit]],Table_NFI[Clothes Kit])</f>
        <v>#REF!</v>
      </c>
      <c r="AH62" s="128" t="e">
        <f>IF(NFI_Expiration=1,IF(#REF!&lt;VLOOKUP(Q$5,NFI,5,0),1,0)*Table_NFI[[#This Row],[Plastic Bucket]],Table_NFI[Plastic Bucket])</f>
        <v>#REF!</v>
      </c>
      <c r="AI62" s="128" t="e">
        <f>IF(NFI_Expiration=1,IF(#REF!&lt;VLOOKUP(R$5,NFI,5,0),1,0)*Table_NFI[[#This Row],[Plastic Mat]],Table_NFI[Plastic Mat])*IF(Table_NFI[[#This Row],[Distribution Date]]&gt;"2014-04-01",1,2.5)</f>
        <v>#REF!</v>
      </c>
      <c r="AJ62" s="128" t="e">
        <f>IF(NFI_Expiration=1,IF(#REF!&lt;VLOOKUP(S$5,NFI,5,0),1,0)*Table_NFI[[#This Row],[Winter Clothes Adult]],Table_NFI[Winter Clothes Adult])</f>
        <v>#REF!</v>
      </c>
      <c r="AK62" s="128" t="e">
        <f>IF(NFI_Expiration=1,IF(#REF!&lt;VLOOKUP(T$5,NFI,5,0),1,0)*Table_NFI[[#This Row],[Winter Clothes Children]],Table_NFI[Winter Clothes Children])</f>
        <v>#REF!</v>
      </c>
      <c r="AL62" s="128" t="e">
        <f>IF(NFI_Expiration=1,IF(#REF!&lt;VLOOKUP(U$5,NFI,5,0),1,0)*Table_NFI[[#This Row],[Winter Items Other]],Table_NFI[Winter Items Other])</f>
        <v>#REF!</v>
      </c>
      <c r="AM62" s="128" t="e">
        <f>IF(NFI_Expiration=1,IF(#REF!&lt;VLOOKUP(N$5,NFI,5,0),1,0)*Table_NFI[[#This Row],[Winter Blanket]],Table_NFI[[#This Row],[Winter Blanket]])</f>
        <v>#REF!</v>
      </c>
      <c r="AN62" s="128">
        <f>IF(Table_NFI[[#This Row],[Winter Clothes Adult]]+Table_NFI[[#This Row],[Winter Clothes Children]]+Table_NFI[[#This Row],[Winter Items Other]]+Table_NFI[[#This Row],[Winter Blanket]]&gt;0,1,0)</f>
        <v>1</v>
      </c>
      <c r="AO62" s="146" t="e">
        <f>IF(NFI_Expiration=1,IF(#REF!&lt;VLOOKUP(W$5,NFI,5,0),1,0)*Table_NFI[[#This Row],[Jerry Can]],Table_NFI[Jerry Can])</f>
        <v>#REF!</v>
      </c>
      <c r="AP62" s="146" t="e">
        <f>IF(NFI_Expiration=1,IF(#REF!&lt;VLOOKUP(W$5,NFI,5,0),1,0)*Table_NFI[[#This Row],[Shelter Tool kit]],Table_NFI[Shelter Tool kit])</f>
        <v>#REF!</v>
      </c>
      <c r="AQ62" s="146" t="e">
        <f>IF(NFI_Expiration=1,IF(#REF!&lt;VLOOKUP(W$5,NFI,5,0),1,0)*Table_NFI[[#This Row],[Tent]],Table_NFI[Tent])</f>
        <v>#REF!</v>
      </c>
      <c r="AR62" s="220" t="str">
        <f>IFERROR(VLOOKUP(Table_NFI[[#This Row],[Location]],CL,2,0),"")</f>
        <v>MMR001CMP244</v>
      </c>
      <c r="AS62" s="221" t="s">
        <v>1271</v>
      </c>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row>
    <row r="63" spans="1:117" s="407" customFormat="1" ht="15" customHeight="1" x14ac:dyDescent="0.25">
      <c r="B63" s="748">
        <v>42780</v>
      </c>
      <c r="C63" s="218" t="s">
        <v>420</v>
      </c>
      <c r="D63" s="218" t="s">
        <v>424</v>
      </c>
      <c r="E63" s="218" t="s">
        <v>378</v>
      </c>
      <c r="F63" s="218" t="s">
        <v>151</v>
      </c>
      <c r="G63" s="218" t="s">
        <v>813</v>
      </c>
      <c r="H63" s="218"/>
      <c r="I63" s="126"/>
      <c r="J63" s="126">
        <v>4</v>
      </c>
      <c r="K63" s="126">
        <v>4</v>
      </c>
      <c r="L63" s="126">
        <v>7</v>
      </c>
      <c r="M63" s="126">
        <v>4</v>
      </c>
      <c r="N63" s="126">
        <v>7</v>
      </c>
      <c r="O63" s="126">
        <v>4</v>
      </c>
      <c r="P63" s="126"/>
      <c r="Q63" s="126">
        <v>4</v>
      </c>
      <c r="R63" s="126">
        <v>14</v>
      </c>
      <c r="S63" s="126"/>
      <c r="T63" s="126"/>
      <c r="U63" s="126"/>
      <c r="V63" s="126"/>
      <c r="W63" s="408">
        <v>4</v>
      </c>
      <c r="X63" s="408"/>
      <c r="Y63" s="126"/>
      <c r="Z63" s="126"/>
      <c r="AA63" s="128" t="e">
        <f>IF(NFI_Expiration=1,IF(#REF!&lt;VLOOKUP(J$5,NFI,5,0),1,0)*Table_NFI[[#This Row],[NFI Core Kit]],Table_NFI[NFI Core Kit])</f>
        <v>#REF!</v>
      </c>
      <c r="AB63" s="128" t="e">
        <f>IF(NFI_Expiration=1,IF(#REF!&lt;VLOOKUP(K$5,NFI,5,0),1,0)*Table_NFI[[#This Row],[Sanitary Kit]],Table_NFI[Sanitary Kit])</f>
        <v>#REF!</v>
      </c>
      <c r="AC63" s="128" t="e">
        <f>IF(NFI_Expiration=1,IF(#REF!&lt;VLOOKUP(L$5,NFI,5,0),1,0)*Table_NFI[[#This Row],[Mosquito net]],Table_NFI[Mosquito net])</f>
        <v>#REF!</v>
      </c>
      <c r="AD63" s="128" t="e">
        <f>IF(NFI_Expiration=1,IF(#REF!&lt;VLOOKUP(M$5,NFI,5,0),1,0)*Table_NFI[[#This Row],[Tarpaulin]],Table_NFI[[#This Row],[Tarpaulin]])</f>
        <v>#REF!</v>
      </c>
      <c r="AE63" s="128" t="e">
        <f>IF(NFI_Expiration=1,IF(#REF!&lt;VLOOKUP(N$5,NFI,5,0),1,0)*Table_NFI[[#This Row],[Blanket]],Table_NFI[[#This Row],[Blanket]])</f>
        <v>#REF!</v>
      </c>
      <c r="AF63" s="128" t="e">
        <f>IF(NFI_Expiration=1,IF(#REF!&lt;VLOOKUP(O$5,NFI,5,0),1,0)*Table_NFI[[#This Row],[Kitchen Set]],Table_NFI[Kitchen Set])</f>
        <v>#REF!</v>
      </c>
      <c r="AG63" s="128" t="e">
        <f>IF(NFI_Expiration=1,IF(#REF!&lt;VLOOKUP(P$5,NFI,5,0),1,0)*Table_NFI[[#This Row],[Clothes Kit]],Table_NFI[Clothes Kit])</f>
        <v>#REF!</v>
      </c>
      <c r="AH63" s="128" t="e">
        <f>IF(NFI_Expiration=1,IF(#REF!&lt;VLOOKUP(Q$5,NFI,5,0),1,0)*Table_NFI[[#This Row],[Plastic Bucket]],Table_NFI[Plastic Bucket])</f>
        <v>#REF!</v>
      </c>
      <c r="AI63" s="128" t="e">
        <f>IF(NFI_Expiration=1,IF(#REF!&lt;VLOOKUP(R$5,NFI,5,0),1,0)*Table_NFI[[#This Row],[Plastic Mat]],Table_NFI[Plastic Mat])*IF(Table_NFI[[#This Row],[Distribution Date]]&gt;"2014-04-01",1,2.5)</f>
        <v>#REF!</v>
      </c>
      <c r="AJ63" s="128" t="e">
        <f>IF(NFI_Expiration=1,IF(#REF!&lt;VLOOKUP(S$5,NFI,5,0),1,0)*Table_NFI[[#This Row],[Winter Clothes Adult]],Table_NFI[Winter Clothes Adult])</f>
        <v>#REF!</v>
      </c>
      <c r="AK63" s="128" t="e">
        <f>IF(NFI_Expiration=1,IF(#REF!&lt;VLOOKUP(T$5,NFI,5,0),1,0)*Table_NFI[[#This Row],[Winter Clothes Children]],Table_NFI[Winter Clothes Children])</f>
        <v>#REF!</v>
      </c>
      <c r="AL63" s="128" t="e">
        <f>IF(NFI_Expiration=1,IF(#REF!&lt;VLOOKUP(U$5,NFI,5,0),1,0)*Table_NFI[[#This Row],[Winter Items Other]],Table_NFI[Winter Items Other])</f>
        <v>#REF!</v>
      </c>
      <c r="AM63" s="128" t="e">
        <f>IF(NFI_Expiration=1,IF(#REF!&lt;VLOOKUP(N$5,NFI,5,0),1,0)*Table_NFI[[#This Row],[Winter Blanket]],Table_NFI[[#This Row],[Winter Blanket]])</f>
        <v>#REF!</v>
      </c>
      <c r="AN63" s="128">
        <f>IF(Table_NFI[[#This Row],[Winter Clothes Adult]]+Table_NFI[[#This Row],[Winter Clothes Children]]+Table_NFI[[#This Row],[Winter Items Other]]+Table_NFI[[#This Row],[Winter Blanket]]&gt;0,1,0)</f>
        <v>0</v>
      </c>
      <c r="AO63" s="146" t="e">
        <f>IF(NFI_Expiration=1,IF(#REF!&lt;VLOOKUP(W$5,NFI,5,0),1,0)*Table_NFI[[#This Row],[Jerry Can]],Table_NFI[Jerry Can])</f>
        <v>#REF!</v>
      </c>
      <c r="AP63" s="146" t="e">
        <f>IF(NFI_Expiration=1,IF(#REF!&lt;VLOOKUP(W$5,NFI,5,0),1,0)*Table_NFI[[#This Row],[Shelter Tool kit]],Table_NFI[Shelter Tool kit])</f>
        <v>#REF!</v>
      </c>
      <c r="AQ63" s="146" t="e">
        <f>IF(NFI_Expiration=1,IF(#REF!&lt;VLOOKUP(W$5,NFI,5,0),1,0)*Table_NFI[[#This Row],[Tent]],Table_NFI[Tent])</f>
        <v>#REF!</v>
      </c>
      <c r="AR63" s="220" t="str">
        <f>IFERROR(VLOOKUP(Table_NFI[[#This Row],[Location]],CL,2,0),"")</f>
        <v>MMR001CMP218</v>
      </c>
      <c r="AS63" s="221" t="s">
        <v>1271</v>
      </c>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row>
    <row r="64" spans="1:117" s="407" customFormat="1" ht="15" customHeight="1" x14ac:dyDescent="0.25">
      <c r="B64" s="748">
        <v>42780</v>
      </c>
      <c r="C64" s="214" t="s">
        <v>1567</v>
      </c>
      <c r="D64" s="214" t="s">
        <v>1567</v>
      </c>
      <c r="E64" s="218" t="s">
        <v>378</v>
      </c>
      <c r="F64" s="218" t="s">
        <v>151</v>
      </c>
      <c r="G64" s="218" t="s">
        <v>813</v>
      </c>
      <c r="H64" s="218"/>
      <c r="I64" s="126">
        <v>2</v>
      </c>
      <c r="J64" s="126"/>
      <c r="K64" s="126">
        <v>18</v>
      </c>
      <c r="L64" s="126"/>
      <c r="M64" s="126"/>
      <c r="N64" s="126"/>
      <c r="O64" s="126"/>
      <c r="P64" s="126"/>
      <c r="Q64" s="126">
        <v>2</v>
      </c>
      <c r="R64" s="126"/>
      <c r="S64" s="126"/>
      <c r="T64" s="126"/>
      <c r="U64" s="126"/>
      <c r="V64" s="126"/>
      <c r="W64" s="408">
        <v>2</v>
      </c>
      <c r="X64" s="408"/>
      <c r="Y64" s="126"/>
      <c r="Z64" s="126"/>
      <c r="AA64" s="128" t="e">
        <f>IF(NFI_Expiration=1,IF(#REF!&lt;VLOOKUP(J$5,NFI,5,0),1,0)*Table_NFI[[#This Row],[NFI Core Kit]],Table_NFI[NFI Core Kit])</f>
        <v>#REF!</v>
      </c>
      <c r="AB64" s="128" t="e">
        <f>IF(NFI_Expiration=1,IF(#REF!&lt;VLOOKUP(K$5,NFI,5,0),1,0)*Table_NFI[[#This Row],[Sanitary Kit]],Table_NFI[Sanitary Kit])</f>
        <v>#REF!</v>
      </c>
      <c r="AC64" s="128" t="e">
        <f>IF(NFI_Expiration=1,IF(#REF!&lt;VLOOKUP(L$5,NFI,5,0),1,0)*Table_NFI[[#This Row],[Mosquito net]],Table_NFI[Mosquito net])</f>
        <v>#REF!</v>
      </c>
      <c r="AD64" s="128" t="e">
        <f>IF(NFI_Expiration=1,IF(#REF!&lt;VLOOKUP(M$5,NFI,5,0),1,0)*Table_NFI[[#This Row],[Tarpaulin]],Table_NFI[[#This Row],[Tarpaulin]])</f>
        <v>#REF!</v>
      </c>
      <c r="AE64" s="128" t="e">
        <f>IF(NFI_Expiration=1,IF(#REF!&lt;VLOOKUP(N$5,NFI,5,0),1,0)*Table_NFI[[#This Row],[Blanket]],Table_NFI[[#This Row],[Blanket]])</f>
        <v>#REF!</v>
      </c>
      <c r="AF64" s="128" t="e">
        <f>IF(NFI_Expiration=1,IF(#REF!&lt;VLOOKUP(O$5,NFI,5,0),1,0)*Table_NFI[[#This Row],[Kitchen Set]],Table_NFI[Kitchen Set])</f>
        <v>#REF!</v>
      </c>
      <c r="AG64" s="128" t="e">
        <f>IF(NFI_Expiration=1,IF(#REF!&lt;VLOOKUP(P$5,NFI,5,0),1,0)*Table_NFI[[#This Row],[Clothes Kit]],Table_NFI[Clothes Kit])</f>
        <v>#REF!</v>
      </c>
      <c r="AH64" s="128" t="e">
        <f>IF(NFI_Expiration=1,IF(#REF!&lt;VLOOKUP(Q$5,NFI,5,0),1,0)*Table_NFI[[#This Row],[Plastic Bucket]],Table_NFI[Plastic Bucket])</f>
        <v>#REF!</v>
      </c>
      <c r="AI64" s="128" t="e">
        <f>IF(NFI_Expiration=1,IF(#REF!&lt;VLOOKUP(R$5,NFI,5,0),1,0)*Table_NFI[[#This Row],[Plastic Mat]],Table_NFI[Plastic Mat])*IF(Table_NFI[[#This Row],[Distribution Date]]&gt;"2014-04-01",1,2.5)</f>
        <v>#REF!</v>
      </c>
      <c r="AJ64" s="128" t="e">
        <f>IF(NFI_Expiration=1,IF(#REF!&lt;VLOOKUP(S$5,NFI,5,0),1,0)*Table_NFI[[#This Row],[Winter Clothes Adult]],Table_NFI[Winter Clothes Adult])</f>
        <v>#REF!</v>
      </c>
      <c r="AK64" s="128" t="e">
        <f>IF(NFI_Expiration=1,IF(#REF!&lt;VLOOKUP(T$5,NFI,5,0),1,0)*Table_NFI[[#This Row],[Winter Clothes Children]],Table_NFI[Winter Clothes Children])</f>
        <v>#REF!</v>
      </c>
      <c r="AL64" s="128" t="e">
        <f>IF(NFI_Expiration=1,IF(#REF!&lt;VLOOKUP(U$5,NFI,5,0),1,0)*Table_NFI[[#This Row],[Winter Items Other]],Table_NFI[Winter Items Other])</f>
        <v>#REF!</v>
      </c>
      <c r="AM64" s="128" t="e">
        <f>IF(NFI_Expiration=1,IF(#REF!&lt;VLOOKUP(N$5,NFI,5,0),1,0)*Table_NFI[[#This Row],[Winter Blanket]],Table_NFI[[#This Row],[Winter Blanket]])</f>
        <v>#REF!</v>
      </c>
      <c r="AN64" s="128">
        <f>IF(Table_NFI[[#This Row],[Winter Clothes Adult]]+Table_NFI[[#This Row],[Winter Clothes Children]]+Table_NFI[[#This Row],[Winter Items Other]]+Table_NFI[[#This Row],[Winter Blanket]]&gt;0,1,0)</f>
        <v>0</v>
      </c>
      <c r="AO64" s="146" t="e">
        <f>IF(NFI_Expiration=1,IF(#REF!&lt;VLOOKUP(W$5,NFI,5,0),1,0)*Table_NFI[[#This Row],[Jerry Can]],Table_NFI[Jerry Can])</f>
        <v>#REF!</v>
      </c>
      <c r="AP64" s="146" t="e">
        <f>IF(NFI_Expiration=1,IF(#REF!&lt;VLOOKUP(W$5,NFI,5,0),1,0)*Table_NFI[[#This Row],[Shelter Tool kit]],Table_NFI[Shelter Tool kit])</f>
        <v>#REF!</v>
      </c>
      <c r="AQ64" s="146" t="e">
        <f>IF(NFI_Expiration=1,IF(#REF!&lt;VLOOKUP(W$5,NFI,5,0),1,0)*Table_NFI[[#This Row],[Tent]],Table_NFI[Tent])</f>
        <v>#REF!</v>
      </c>
      <c r="AR64" s="220" t="str">
        <f>IFERROR(VLOOKUP(Table_NFI[[#This Row],[Location]],CL,2,0),"")</f>
        <v>MMR001CMP218</v>
      </c>
      <c r="AS64" s="221" t="s">
        <v>1294</v>
      </c>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row>
    <row r="65" spans="1:117" s="407" customFormat="1" ht="15" customHeight="1" x14ac:dyDescent="0.25">
      <c r="B65" s="748">
        <v>42780</v>
      </c>
      <c r="C65" s="218" t="s">
        <v>420</v>
      </c>
      <c r="D65" s="218" t="s">
        <v>1183</v>
      </c>
      <c r="E65" s="218" t="s">
        <v>378</v>
      </c>
      <c r="F65" s="218" t="s">
        <v>151</v>
      </c>
      <c r="G65" s="218" t="s">
        <v>851</v>
      </c>
      <c r="H65" s="218"/>
      <c r="I65" s="126"/>
      <c r="J65" s="126">
        <v>1</v>
      </c>
      <c r="K65" s="126">
        <v>1</v>
      </c>
      <c r="L65" s="126">
        <v>2</v>
      </c>
      <c r="M65" s="126">
        <v>1</v>
      </c>
      <c r="N65" s="126">
        <v>2</v>
      </c>
      <c r="O65" s="126">
        <v>1</v>
      </c>
      <c r="P65" s="126"/>
      <c r="Q65" s="126">
        <v>1</v>
      </c>
      <c r="R65" s="126">
        <v>3</v>
      </c>
      <c r="S65" s="126"/>
      <c r="T65" s="126"/>
      <c r="U65" s="126"/>
      <c r="V65" s="126"/>
      <c r="W65" s="408">
        <v>1</v>
      </c>
      <c r="X65" s="408"/>
      <c r="Y65" s="408"/>
      <c r="Z65" s="408"/>
      <c r="AA65" s="128" t="e">
        <f>IF(NFI_Expiration=1,IF(#REF!&lt;VLOOKUP(J$5,NFI,5,0),1,0)*Table_NFI[[#This Row],[NFI Core Kit]],Table_NFI[NFI Core Kit])</f>
        <v>#REF!</v>
      </c>
      <c r="AB65" s="128" t="e">
        <f>IF(NFI_Expiration=1,IF(#REF!&lt;VLOOKUP(K$5,NFI,5,0),1,0)*Table_NFI[[#This Row],[Sanitary Kit]],Table_NFI[Sanitary Kit])</f>
        <v>#REF!</v>
      </c>
      <c r="AC65" s="128" t="e">
        <f>IF(NFI_Expiration=1,IF(#REF!&lt;VLOOKUP(L$5,NFI,5,0),1,0)*Table_NFI[[#This Row],[Mosquito net]],Table_NFI[Mosquito net])</f>
        <v>#REF!</v>
      </c>
      <c r="AD65" s="128" t="e">
        <f>IF(NFI_Expiration=1,IF(#REF!&lt;VLOOKUP(M$5,NFI,5,0),1,0)*Table_NFI[[#This Row],[Tarpaulin]],Table_NFI[[#This Row],[Tarpaulin]])</f>
        <v>#REF!</v>
      </c>
      <c r="AE65" s="128" t="e">
        <f>IF(NFI_Expiration=1,IF(#REF!&lt;VLOOKUP(N$5,NFI,5,0),1,0)*Table_NFI[[#This Row],[Blanket]],Table_NFI[[#This Row],[Blanket]])</f>
        <v>#REF!</v>
      </c>
      <c r="AF65" s="128" t="e">
        <f>IF(NFI_Expiration=1,IF(#REF!&lt;VLOOKUP(O$5,NFI,5,0),1,0)*Table_NFI[[#This Row],[Kitchen Set]],Table_NFI[Kitchen Set])</f>
        <v>#REF!</v>
      </c>
      <c r="AG65" s="128" t="e">
        <f>IF(NFI_Expiration=1,IF(#REF!&lt;VLOOKUP(P$5,NFI,5,0),1,0)*Table_NFI[[#This Row],[Clothes Kit]],Table_NFI[Clothes Kit])</f>
        <v>#REF!</v>
      </c>
      <c r="AH65" s="128" t="e">
        <f>IF(NFI_Expiration=1,IF(#REF!&lt;VLOOKUP(Q$5,NFI,5,0),1,0)*Table_NFI[[#This Row],[Plastic Bucket]],Table_NFI[Plastic Bucket])</f>
        <v>#REF!</v>
      </c>
      <c r="AI65" s="128" t="e">
        <f>IF(NFI_Expiration=1,IF(#REF!&lt;VLOOKUP(R$5,NFI,5,0),1,0)*Table_NFI[[#This Row],[Plastic Mat]],Table_NFI[Plastic Mat])*IF(Table_NFI[[#This Row],[Distribution Date]]&gt;"2014-04-01",1,2.5)</f>
        <v>#REF!</v>
      </c>
      <c r="AJ65" s="128" t="e">
        <f>IF(NFI_Expiration=1,IF(#REF!&lt;VLOOKUP(S$5,NFI,5,0),1,0)*Table_NFI[[#This Row],[Winter Clothes Adult]],Table_NFI[Winter Clothes Adult])</f>
        <v>#REF!</v>
      </c>
      <c r="AK65" s="128" t="e">
        <f>IF(NFI_Expiration=1,IF(#REF!&lt;VLOOKUP(T$5,NFI,5,0),1,0)*Table_NFI[[#This Row],[Winter Clothes Children]],Table_NFI[Winter Clothes Children])</f>
        <v>#REF!</v>
      </c>
      <c r="AL65" s="128" t="e">
        <f>IF(NFI_Expiration=1,IF(#REF!&lt;VLOOKUP(U$5,NFI,5,0),1,0)*Table_NFI[[#This Row],[Winter Items Other]],Table_NFI[Winter Items Other])</f>
        <v>#REF!</v>
      </c>
      <c r="AM65" s="128" t="e">
        <f>IF(NFI_Expiration=1,IF(#REF!&lt;VLOOKUP(N$5,NFI,5,0),1,0)*Table_NFI[[#This Row],[Winter Blanket]],Table_NFI[[#This Row],[Winter Blanket]])</f>
        <v>#REF!</v>
      </c>
      <c r="AN65" s="128">
        <f>IF(Table_NFI[[#This Row],[Winter Clothes Adult]]+Table_NFI[[#This Row],[Winter Clothes Children]]+Table_NFI[[#This Row],[Winter Items Other]]+Table_NFI[[#This Row],[Winter Blanket]]&gt;0,1,0)</f>
        <v>0</v>
      </c>
      <c r="AO65" s="146" t="e">
        <f>IF(NFI_Expiration=1,IF(#REF!&lt;VLOOKUP(W$5,NFI,5,0),1,0)*Table_NFI[[#This Row],[Jerry Can]],Table_NFI[Jerry Can])</f>
        <v>#REF!</v>
      </c>
      <c r="AP65" s="146" t="e">
        <f>IF(NFI_Expiration=1,IF(#REF!&lt;VLOOKUP(W$5,NFI,5,0),1,0)*Table_NFI[[#This Row],[Shelter Tool kit]],Table_NFI[Shelter Tool kit])</f>
        <v>#REF!</v>
      </c>
      <c r="AQ65" s="146" t="e">
        <f>IF(NFI_Expiration=1,IF(#REF!&lt;VLOOKUP(W$5,NFI,5,0),1,0)*Table_NFI[[#This Row],[Tent]],Table_NFI[Tent])</f>
        <v>#REF!</v>
      </c>
      <c r="AR65" s="220" t="str">
        <f>IFERROR(VLOOKUP(Table_NFI[[#This Row],[Location]],CL,2,0),"")</f>
        <v>MMR001CMP223</v>
      </c>
      <c r="AS65" s="221" t="s">
        <v>1271</v>
      </c>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row>
    <row r="66" spans="1:117" s="217" customFormat="1" ht="15" customHeight="1" x14ac:dyDescent="0.25">
      <c r="A66" s="407"/>
      <c r="B66" s="748">
        <v>42779</v>
      </c>
      <c r="C66" s="218" t="s">
        <v>420</v>
      </c>
      <c r="D66" s="218" t="s">
        <v>424</v>
      </c>
      <c r="E66" s="218" t="s">
        <v>378</v>
      </c>
      <c r="F66" s="218" t="s">
        <v>237</v>
      </c>
      <c r="G66" s="218" t="s">
        <v>240</v>
      </c>
      <c r="H66" s="218"/>
      <c r="I66" s="126"/>
      <c r="J66" s="126">
        <v>3</v>
      </c>
      <c r="K66" s="126">
        <v>3</v>
      </c>
      <c r="L66" s="126">
        <v>5</v>
      </c>
      <c r="M66" s="126">
        <v>3</v>
      </c>
      <c r="N66" s="126">
        <v>8</v>
      </c>
      <c r="O66" s="126">
        <v>3</v>
      </c>
      <c r="P66" s="126"/>
      <c r="Q66" s="126">
        <v>3</v>
      </c>
      <c r="R66" s="126">
        <v>8</v>
      </c>
      <c r="S66" s="126"/>
      <c r="T66" s="126"/>
      <c r="U66" s="126"/>
      <c r="V66" s="126"/>
      <c r="W66" s="408">
        <v>3</v>
      </c>
      <c r="X66" s="408"/>
      <c r="Y66" s="408"/>
      <c r="Z66" s="408"/>
      <c r="AA66" s="128" t="e">
        <f>IF(NFI_Expiration=1,IF(#REF!&lt;VLOOKUP(J$5,NFI,5,0),1,0)*Table_NFI[[#This Row],[NFI Core Kit]],Table_NFI[NFI Core Kit])</f>
        <v>#REF!</v>
      </c>
      <c r="AB66" s="128" t="e">
        <f>IF(NFI_Expiration=1,IF(#REF!&lt;VLOOKUP(K$5,NFI,5,0),1,0)*Table_NFI[[#This Row],[Sanitary Kit]],Table_NFI[Sanitary Kit])</f>
        <v>#REF!</v>
      </c>
      <c r="AC66" s="128" t="e">
        <f>IF(NFI_Expiration=1,IF(#REF!&lt;VLOOKUP(L$5,NFI,5,0),1,0)*Table_NFI[[#This Row],[Mosquito net]],Table_NFI[Mosquito net])</f>
        <v>#REF!</v>
      </c>
      <c r="AD66" s="128" t="e">
        <f>IF(NFI_Expiration=1,IF(#REF!&lt;VLOOKUP(M$5,NFI,5,0),1,0)*Table_NFI[[#This Row],[Tarpaulin]],Table_NFI[[#This Row],[Tarpaulin]])</f>
        <v>#REF!</v>
      </c>
      <c r="AE66" s="128" t="e">
        <f>IF(NFI_Expiration=1,IF(#REF!&lt;VLOOKUP(N$5,NFI,5,0),1,0)*Table_NFI[[#This Row],[Blanket]],Table_NFI[[#This Row],[Blanket]])</f>
        <v>#REF!</v>
      </c>
      <c r="AF66" s="128" t="e">
        <f>IF(NFI_Expiration=1,IF(#REF!&lt;VLOOKUP(O$5,NFI,5,0),1,0)*Table_NFI[[#This Row],[Kitchen Set]],Table_NFI[Kitchen Set])</f>
        <v>#REF!</v>
      </c>
      <c r="AG66" s="128" t="e">
        <f>IF(NFI_Expiration=1,IF(#REF!&lt;VLOOKUP(P$5,NFI,5,0),1,0)*Table_NFI[[#This Row],[Clothes Kit]],Table_NFI[Clothes Kit])</f>
        <v>#REF!</v>
      </c>
      <c r="AH66" s="128" t="e">
        <f>IF(NFI_Expiration=1,IF(#REF!&lt;VLOOKUP(Q$5,NFI,5,0),1,0)*Table_NFI[[#This Row],[Plastic Bucket]],Table_NFI[Plastic Bucket])</f>
        <v>#REF!</v>
      </c>
      <c r="AI66" s="128" t="e">
        <f>IF(NFI_Expiration=1,IF(#REF!&lt;VLOOKUP(R$5,NFI,5,0),1,0)*Table_NFI[[#This Row],[Plastic Mat]],Table_NFI[Plastic Mat])*IF(Table_NFI[[#This Row],[Distribution Date]]&gt;"2014-04-01",1,2.5)</f>
        <v>#REF!</v>
      </c>
      <c r="AJ66" s="128" t="e">
        <f>IF(NFI_Expiration=1,IF(#REF!&lt;VLOOKUP(S$5,NFI,5,0),1,0)*Table_NFI[[#This Row],[Winter Clothes Adult]],Table_NFI[Winter Clothes Adult])</f>
        <v>#REF!</v>
      </c>
      <c r="AK66" s="128" t="e">
        <f>IF(NFI_Expiration=1,IF(#REF!&lt;VLOOKUP(T$5,NFI,5,0),1,0)*Table_NFI[[#This Row],[Winter Clothes Children]],Table_NFI[Winter Clothes Children])</f>
        <v>#REF!</v>
      </c>
      <c r="AL66" s="128" t="e">
        <f>IF(NFI_Expiration=1,IF(#REF!&lt;VLOOKUP(U$5,NFI,5,0),1,0)*Table_NFI[[#This Row],[Winter Items Other]],Table_NFI[Winter Items Other])</f>
        <v>#REF!</v>
      </c>
      <c r="AM66" s="128" t="e">
        <f>IF(NFI_Expiration=1,IF(#REF!&lt;VLOOKUP(N$5,NFI,5,0),1,0)*Table_NFI[[#This Row],[Winter Blanket]],Table_NFI[[#This Row],[Winter Blanket]])</f>
        <v>#REF!</v>
      </c>
      <c r="AN66" s="128">
        <f>IF(Table_NFI[[#This Row],[Winter Clothes Adult]]+Table_NFI[[#This Row],[Winter Clothes Children]]+Table_NFI[[#This Row],[Winter Items Other]]+Table_NFI[[#This Row],[Winter Blanket]]&gt;0,1,0)</f>
        <v>0</v>
      </c>
      <c r="AO66" s="146" t="e">
        <f>IF(NFI_Expiration=1,IF(#REF!&lt;VLOOKUP(W$5,NFI,5,0),1,0)*Table_NFI[[#This Row],[Jerry Can]],Table_NFI[Jerry Can])</f>
        <v>#REF!</v>
      </c>
      <c r="AP66" s="146" t="e">
        <f>IF(NFI_Expiration=1,IF(#REF!&lt;VLOOKUP(W$5,NFI,5,0),1,0)*Table_NFI[[#This Row],[Shelter Tool kit]],Table_NFI[Shelter Tool kit])</f>
        <v>#REF!</v>
      </c>
      <c r="AQ66" s="146" t="e">
        <f>IF(NFI_Expiration=1,IF(#REF!&lt;VLOOKUP(W$5,NFI,5,0),1,0)*Table_NFI[[#This Row],[Tent]],Table_NFI[Tent])</f>
        <v>#REF!</v>
      </c>
      <c r="AR66" s="220" t="str">
        <f>IFERROR(VLOOKUP(Table_NFI[[#This Row],[Location]],CL,2,0),"")</f>
        <v>MMR001CMP015</v>
      </c>
      <c r="AS66" s="221" t="s">
        <v>1271</v>
      </c>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row>
    <row r="67" spans="1:117" s="407" customFormat="1" ht="15" customHeight="1" x14ac:dyDescent="0.25">
      <c r="B67" s="748">
        <v>42779</v>
      </c>
      <c r="C67" s="218" t="s">
        <v>420</v>
      </c>
      <c r="D67" s="218" t="s">
        <v>424</v>
      </c>
      <c r="E67" s="218" t="s">
        <v>378</v>
      </c>
      <c r="F67" s="218" t="s">
        <v>237</v>
      </c>
      <c r="G67" s="218" t="s">
        <v>252</v>
      </c>
      <c r="H67" s="218"/>
      <c r="I67" s="126"/>
      <c r="J67" s="126">
        <v>1</v>
      </c>
      <c r="K67" s="126">
        <v>1</v>
      </c>
      <c r="L67" s="126">
        <v>2</v>
      </c>
      <c r="M67" s="126">
        <v>1</v>
      </c>
      <c r="N67" s="126">
        <v>3</v>
      </c>
      <c r="O67" s="126">
        <v>1</v>
      </c>
      <c r="P67" s="126"/>
      <c r="Q67" s="126">
        <v>1</v>
      </c>
      <c r="R67" s="126">
        <v>3</v>
      </c>
      <c r="S67" s="126"/>
      <c r="T67" s="126"/>
      <c r="U67" s="126"/>
      <c r="V67" s="126"/>
      <c r="W67" s="408">
        <v>1</v>
      </c>
      <c r="X67" s="408"/>
      <c r="Y67" s="408"/>
      <c r="Z67" s="408"/>
      <c r="AA67" s="128" t="e">
        <f>IF(NFI_Expiration=1,IF(#REF!&lt;VLOOKUP(J$5,NFI,5,0),1,0)*Table_NFI[[#This Row],[NFI Core Kit]],Table_NFI[NFI Core Kit])</f>
        <v>#REF!</v>
      </c>
      <c r="AB67" s="128" t="e">
        <f>IF(NFI_Expiration=1,IF(#REF!&lt;VLOOKUP(K$5,NFI,5,0),1,0)*Table_NFI[[#This Row],[Sanitary Kit]],Table_NFI[Sanitary Kit])</f>
        <v>#REF!</v>
      </c>
      <c r="AC67" s="128" t="e">
        <f>IF(NFI_Expiration=1,IF(#REF!&lt;VLOOKUP(L$5,NFI,5,0),1,0)*Table_NFI[[#This Row],[Mosquito net]],Table_NFI[Mosquito net])</f>
        <v>#REF!</v>
      </c>
      <c r="AD67" s="128" t="e">
        <f>IF(NFI_Expiration=1,IF(#REF!&lt;VLOOKUP(M$5,NFI,5,0),1,0)*Table_NFI[[#This Row],[Tarpaulin]],Table_NFI[[#This Row],[Tarpaulin]])</f>
        <v>#REF!</v>
      </c>
      <c r="AE67" s="128" t="e">
        <f>IF(NFI_Expiration=1,IF(#REF!&lt;VLOOKUP(N$5,NFI,5,0),1,0)*Table_NFI[[#This Row],[Blanket]],Table_NFI[[#This Row],[Blanket]])</f>
        <v>#REF!</v>
      </c>
      <c r="AF67" s="128" t="e">
        <f>IF(NFI_Expiration=1,IF(#REF!&lt;VLOOKUP(O$5,NFI,5,0),1,0)*Table_NFI[[#This Row],[Kitchen Set]],Table_NFI[Kitchen Set])</f>
        <v>#REF!</v>
      </c>
      <c r="AG67" s="128" t="e">
        <f>IF(NFI_Expiration=1,IF(#REF!&lt;VLOOKUP(P$5,NFI,5,0),1,0)*Table_NFI[[#This Row],[Clothes Kit]],Table_NFI[Clothes Kit])</f>
        <v>#REF!</v>
      </c>
      <c r="AH67" s="128" t="e">
        <f>IF(NFI_Expiration=1,IF(#REF!&lt;VLOOKUP(Q$5,NFI,5,0),1,0)*Table_NFI[[#This Row],[Plastic Bucket]],Table_NFI[Plastic Bucket])</f>
        <v>#REF!</v>
      </c>
      <c r="AI67" s="128" t="e">
        <f>IF(NFI_Expiration=1,IF(#REF!&lt;VLOOKUP(R$5,NFI,5,0),1,0)*Table_NFI[[#This Row],[Plastic Mat]],Table_NFI[Plastic Mat])*IF(Table_NFI[[#This Row],[Distribution Date]]&gt;"2014-04-01",1,2.5)</f>
        <v>#REF!</v>
      </c>
      <c r="AJ67" s="128" t="e">
        <f>IF(NFI_Expiration=1,IF(#REF!&lt;VLOOKUP(S$5,NFI,5,0),1,0)*Table_NFI[[#This Row],[Winter Clothes Adult]],Table_NFI[Winter Clothes Adult])</f>
        <v>#REF!</v>
      </c>
      <c r="AK67" s="128" t="e">
        <f>IF(NFI_Expiration=1,IF(#REF!&lt;VLOOKUP(T$5,NFI,5,0),1,0)*Table_NFI[[#This Row],[Winter Clothes Children]],Table_NFI[Winter Clothes Children])</f>
        <v>#REF!</v>
      </c>
      <c r="AL67" s="128" t="e">
        <f>IF(NFI_Expiration=1,IF(#REF!&lt;VLOOKUP(U$5,NFI,5,0),1,0)*Table_NFI[[#This Row],[Winter Items Other]],Table_NFI[Winter Items Other])</f>
        <v>#REF!</v>
      </c>
      <c r="AM67" s="128" t="e">
        <f>IF(NFI_Expiration=1,IF(#REF!&lt;VLOOKUP(N$5,NFI,5,0),1,0)*Table_NFI[[#This Row],[Winter Blanket]],Table_NFI[[#This Row],[Winter Blanket]])</f>
        <v>#REF!</v>
      </c>
      <c r="AN67" s="128">
        <f>IF(Table_NFI[[#This Row],[Winter Clothes Adult]]+Table_NFI[[#This Row],[Winter Clothes Children]]+Table_NFI[[#This Row],[Winter Items Other]]+Table_NFI[[#This Row],[Winter Blanket]]&gt;0,1,0)</f>
        <v>0</v>
      </c>
      <c r="AO67" s="146" t="e">
        <f>IF(NFI_Expiration=1,IF(#REF!&lt;VLOOKUP(W$5,NFI,5,0),1,0)*Table_NFI[[#This Row],[Jerry Can]],Table_NFI[Jerry Can])</f>
        <v>#REF!</v>
      </c>
      <c r="AP67" s="146" t="e">
        <f>IF(NFI_Expiration=1,IF(#REF!&lt;VLOOKUP(W$5,NFI,5,0),1,0)*Table_NFI[[#This Row],[Shelter Tool kit]],Table_NFI[Shelter Tool kit])</f>
        <v>#REF!</v>
      </c>
      <c r="AQ67" s="146" t="e">
        <f>IF(NFI_Expiration=1,IF(#REF!&lt;VLOOKUP(W$5,NFI,5,0),1,0)*Table_NFI[[#This Row],[Tent]],Table_NFI[Tent])</f>
        <v>#REF!</v>
      </c>
      <c r="AR67" s="220" t="str">
        <f>IFERROR(VLOOKUP(Table_NFI[[#This Row],[Location]],CL,2,0),"")</f>
        <v>MMR001CMP018</v>
      </c>
      <c r="AS67" s="221" t="s">
        <v>1271</v>
      </c>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22"/>
      <c r="BW67" s="222"/>
      <c r="BX67" s="222"/>
      <c r="BY67" s="222"/>
      <c r="BZ67" s="222"/>
      <c r="CA67" s="222"/>
      <c r="CB67" s="222"/>
      <c r="CC67" s="222"/>
      <c r="CD67" s="222"/>
      <c r="CE67" s="222"/>
      <c r="CF67" s="222"/>
      <c r="CG67" s="222"/>
      <c r="CH67" s="222"/>
      <c r="CI67" s="222"/>
      <c r="CJ67" s="222"/>
      <c r="CK67" s="222"/>
      <c r="CL67" s="222"/>
      <c r="CM67" s="222"/>
      <c r="CN67" s="222"/>
      <c r="CO67" s="222"/>
      <c r="CP67" s="222"/>
      <c r="CQ67" s="222"/>
      <c r="CR67" s="222"/>
      <c r="CS67" s="222"/>
      <c r="CT67" s="222"/>
      <c r="CU67" s="222"/>
      <c r="CV67" s="222"/>
      <c r="CW67" s="222"/>
      <c r="CX67" s="222"/>
      <c r="CY67" s="222"/>
      <c r="CZ67" s="222"/>
      <c r="DA67" s="222"/>
      <c r="DB67" s="222"/>
      <c r="DC67" s="222"/>
      <c r="DD67" s="222"/>
      <c r="DE67" s="222"/>
      <c r="DF67" s="222"/>
      <c r="DG67" s="222"/>
      <c r="DH67" s="222"/>
      <c r="DI67" s="222"/>
      <c r="DJ67" s="222"/>
      <c r="DK67" s="222"/>
      <c r="DL67" s="222"/>
      <c r="DM67" s="222"/>
    </row>
    <row r="68" spans="1:117" s="407" customFormat="1" ht="15" customHeight="1" x14ac:dyDescent="0.25">
      <c r="B68" s="748">
        <v>42779</v>
      </c>
      <c r="C68" s="218" t="s">
        <v>420</v>
      </c>
      <c r="D68" s="218" t="s">
        <v>424</v>
      </c>
      <c r="E68" s="218" t="s">
        <v>378</v>
      </c>
      <c r="F68" s="218" t="s">
        <v>237</v>
      </c>
      <c r="G68" s="218" t="s">
        <v>256</v>
      </c>
      <c r="H68" s="218"/>
      <c r="I68" s="126"/>
      <c r="J68" s="126">
        <v>3</v>
      </c>
      <c r="K68" s="126">
        <v>3</v>
      </c>
      <c r="L68" s="126">
        <v>9</v>
      </c>
      <c r="M68" s="126">
        <v>3</v>
      </c>
      <c r="N68" s="126">
        <v>17</v>
      </c>
      <c r="O68" s="126">
        <v>3</v>
      </c>
      <c r="P68" s="126"/>
      <c r="Q68" s="126">
        <v>3</v>
      </c>
      <c r="R68" s="126">
        <v>17</v>
      </c>
      <c r="S68" s="126"/>
      <c r="T68" s="126"/>
      <c r="U68" s="126"/>
      <c r="V68" s="126"/>
      <c r="W68" s="408">
        <v>3</v>
      </c>
      <c r="X68" s="408"/>
      <c r="Y68" s="408"/>
      <c r="Z68" s="408"/>
      <c r="AA68" s="128" t="e">
        <f>IF(NFI_Expiration=1,IF(#REF!&lt;VLOOKUP(J$5,NFI,5,0),1,0)*Table_NFI[[#This Row],[NFI Core Kit]],Table_NFI[NFI Core Kit])</f>
        <v>#REF!</v>
      </c>
      <c r="AB68" s="128" t="e">
        <f>IF(NFI_Expiration=1,IF(#REF!&lt;VLOOKUP(K$5,NFI,5,0),1,0)*Table_NFI[[#This Row],[Sanitary Kit]],Table_NFI[Sanitary Kit])</f>
        <v>#REF!</v>
      </c>
      <c r="AC68" s="128" t="e">
        <f>IF(NFI_Expiration=1,IF(#REF!&lt;VLOOKUP(L$5,NFI,5,0),1,0)*Table_NFI[[#This Row],[Mosquito net]],Table_NFI[Mosquito net])</f>
        <v>#REF!</v>
      </c>
      <c r="AD68" s="128" t="e">
        <f>IF(NFI_Expiration=1,IF(#REF!&lt;VLOOKUP(M$5,NFI,5,0),1,0)*Table_NFI[[#This Row],[Tarpaulin]],Table_NFI[[#This Row],[Tarpaulin]])</f>
        <v>#REF!</v>
      </c>
      <c r="AE68" s="128" t="e">
        <f>IF(NFI_Expiration=1,IF(#REF!&lt;VLOOKUP(N$5,NFI,5,0),1,0)*Table_NFI[[#This Row],[Blanket]],Table_NFI[[#This Row],[Blanket]])</f>
        <v>#REF!</v>
      </c>
      <c r="AF68" s="128" t="e">
        <f>IF(NFI_Expiration=1,IF(#REF!&lt;VLOOKUP(O$5,NFI,5,0),1,0)*Table_NFI[[#This Row],[Kitchen Set]],Table_NFI[Kitchen Set])</f>
        <v>#REF!</v>
      </c>
      <c r="AG68" s="128" t="e">
        <f>IF(NFI_Expiration=1,IF(#REF!&lt;VLOOKUP(P$5,NFI,5,0),1,0)*Table_NFI[[#This Row],[Clothes Kit]],Table_NFI[Clothes Kit])</f>
        <v>#REF!</v>
      </c>
      <c r="AH68" s="128" t="e">
        <f>IF(NFI_Expiration=1,IF(#REF!&lt;VLOOKUP(Q$5,NFI,5,0),1,0)*Table_NFI[[#This Row],[Plastic Bucket]],Table_NFI[Plastic Bucket])</f>
        <v>#REF!</v>
      </c>
      <c r="AI68" s="128" t="e">
        <f>IF(NFI_Expiration=1,IF(#REF!&lt;VLOOKUP(R$5,NFI,5,0),1,0)*Table_NFI[[#This Row],[Plastic Mat]],Table_NFI[Plastic Mat])*IF(Table_NFI[[#This Row],[Distribution Date]]&gt;"2014-04-01",1,2.5)</f>
        <v>#REF!</v>
      </c>
      <c r="AJ68" s="128" t="e">
        <f>IF(NFI_Expiration=1,IF(#REF!&lt;VLOOKUP(S$5,NFI,5,0),1,0)*Table_NFI[[#This Row],[Winter Clothes Adult]],Table_NFI[Winter Clothes Adult])</f>
        <v>#REF!</v>
      </c>
      <c r="AK68" s="128" t="e">
        <f>IF(NFI_Expiration=1,IF(#REF!&lt;VLOOKUP(T$5,NFI,5,0),1,0)*Table_NFI[[#This Row],[Winter Clothes Children]],Table_NFI[Winter Clothes Children])</f>
        <v>#REF!</v>
      </c>
      <c r="AL68" s="128" t="e">
        <f>IF(NFI_Expiration=1,IF(#REF!&lt;VLOOKUP(U$5,NFI,5,0),1,0)*Table_NFI[[#This Row],[Winter Items Other]],Table_NFI[Winter Items Other])</f>
        <v>#REF!</v>
      </c>
      <c r="AM68" s="128" t="e">
        <f>IF(NFI_Expiration=1,IF(#REF!&lt;VLOOKUP(N$5,NFI,5,0),1,0)*Table_NFI[[#This Row],[Winter Blanket]],Table_NFI[[#This Row],[Winter Blanket]])</f>
        <v>#REF!</v>
      </c>
      <c r="AN68" s="128">
        <f>IF(Table_NFI[[#This Row],[Winter Clothes Adult]]+Table_NFI[[#This Row],[Winter Clothes Children]]+Table_NFI[[#This Row],[Winter Items Other]]+Table_NFI[[#This Row],[Winter Blanket]]&gt;0,1,0)</f>
        <v>0</v>
      </c>
      <c r="AO68" s="146" t="e">
        <f>IF(NFI_Expiration=1,IF(#REF!&lt;VLOOKUP(W$5,NFI,5,0),1,0)*Table_NFI[[#This Row],[Jerry Can]],Table_NFI[Jerry Can])</f>
        <v>#REF!</v>
      </c>
      <c r="AP68" s="146" t="e">
        <f>IF(NFI_Expiration=1,IF(#REF!&lt;VLOOKUP(W$5,NFI,5,0),1,0)*Table_NFI[[#This Row],[Shelter Tool kit]],Table_NFI[Shelter Tool kit])</f>
        <v>#REF!</v>
      </c>
      <c r="AQ68" s="146" t="e">
        <f>IF(NFI_Expiration=1,IF(#REF!&lt;VLOOKUP(W$5,NFI,5,0),1,0)*Table_NFI[[#This Row],[Tent]],Table_NFI[Tent])</f>
        <v>#REF!</v>
      </c>
      <c r="AR68" s="220" t="str">
        <f>IFERROR(VLOOKUP(Table_NFI[[#This Row],[Location]],CL,2,0),"")</f>
        <v>MMR001CMP013</v>
      </c>
      <c r="AS68" s="221" t="s">
        <v>1271</v>
      </c>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c r="CZ68" s="222"/>
      <c r="DA68" s="222"/>
      <c r="DB68" s="222"/>
      <c r="DC68" s="222"/>
      <c r="DD68" s="222"/>
      <c r="DE68" s="222"/>
      <c r="DF68" s="222"/>
      <c r="DG68" s="222"/>
      <c r="DH68" s="222"/>
      <c r="DI68" s="222"/>
      <c r="DJ68" s="222"/>
      <c r="DK68" s="222"/>
      <c r="DL68" s="222"/>
      <c r="DM68" s="222"/>
    </row>
    <row r="69" spans="1:117" s="407" customFormat="1" ht="15" customHeight="1" x14ac:dyDescent="0.25">
      <c r="B69" s="748">
        <v>42779</v>
      </c>
      <c r="C69" s="218" t="s">
        <v>420</v>
      </c>
      <c r="D69" s="218" t="s">
        <v>424</v>
      </c>
      <c r="E69" s="218" t="s">
        <v>378</v>
      </c>
      <c r="F69" s="218" t="s">
        <v>237</v>
      </c>
      <c r="G69" s="218" t="s">
        <v>260</v>
      </c>
      <c r="H69" s="218"/>
      <c r="I69" s="126"/>
      <c r="J69" s="126">
        <v>1</v>
      </c>
      <c r="K69" s="126">
        <v>1</v>
      </c>
      <c r="L69" s="126">
        <v>2</v>
      </c>
      <c r="M69" s="126">
        <v>1</v>
      </c>
      <c r="N69" s="126">
        <v>3</v>
      </c>
      <c r="O69" s="126">
        <v>1</v>
      </c>
      <c r="P69" s="126"/>
      <c r="Q69" s="126">
        <v>1</v>
      </c>
      <c r="R69" s="126">
        <v>3</v>
      </c>
      <c r="S69" s="126"/>
      <c r="T69" s="126"/>
      <c r="U69" s="126"/>
      <c r="V69" s="126"/>
      <c r="W69" s="408">
        <v>1</v>
      </c>
      <c r="X69" s="408"/>
      <c r="Y69" s="126"/>
      <c r="Z69" s="126"/>
      <c r="AA69" s="128" t="e">
        <f>IF(NFI_Expiration=1,IF(#REF!&lt;VLOOKUP(J$5,NFI,5,0),1,0)*Table_NFI[[#This Row],[NFI Core Kit]],Table_NFI[NFI Core Kit])</f>
        <v>#REF!</v>
      </c>
      <c r="AB69" s="128" t="e">
        <f>IF(NFI_Expiration=1,IF(#REF!&lt;VLOOKUP(K$5,NFI,5,0),1,0)*Table_NFI[[#This Row],[Sanitary Kit]],Table_NFI[Sanitary Kit])</f>
        <v>#REF!</v>
      </c>
      <c r="AC69" s="128" t="e">
        <f>IF(NFI_Expiration=1,IF(#REF!&lt;VLOOKUP(L$5,NFI,5,0),1,0)*Table_NFI[[#This Row],[Mosquito net]],Table_NFI[Mosquito net])</f>
        <v>#REF!</v>
      </c>
      <c r="AD69" s="128" t="e">
        <f>IF(NFI_Expiration=1,IF(#REF!&lt;VLOOKUP(M$5,NFI,5,0),1,0)*Table_NFI[[#This Row],[Tarpaulin]],Table_NFI[[#This Row],[Tarpaulin]])</f>
        <v>#REF!</v>
      </c>
      <c r="AE69" s="128" t="e">
        <f>IF(NFI_Expiration=1,IF(#REF!&lt;VLOOKUP(N$5,NFI,5,0),1,0)*Table_NFI[[#This Row],[Blanket]],Table_NFI[[#This Row],[Blanket]])</f>
        <v>#REF!</v>
      </c>
      <c r="AF69" s="128" t="e">
        <f>IF(NFI_Expiration=1,IF(#REF!&lt;VLOOKUP(O$5,NFI,5,0),1,0)*Table_NFI[[#This Row],[Kitchen Set]],Table_NFI[Kitchen Set])</f>
        <v>#REF!</v>
      </c>
      <c r="AG69" s="128" t="e">
        <f>IF(NFI_Expiration=1,IF(#REF!&lt;VLOOKUP(P$5,NFI,5,0),1,0)*Table_NFI[[#This Row],[Clothes Kit]],Table_NFI[Clothes Kit])</f>
        <v>#REF!</v>
      </c>
      <c r="AH69" s="128" t="e">
        <f>IF(NFI_Expiration=1,IF(#REF!&lt;VLOOKUP(Q$5,NFI,5,0),1,0)*Table_NFI[[#This Row],[Plastic Bucket]],Table_NFI[Plastic Bucket])</f>
        <v>#REF!</v>
      </c>
      <c r="AI69" s="128" t="e">
        <f>IF(NFI_Expiration=1,IF(#REF!&lt;VLOOKUP(R$5,NFI,5,0),1,0)*Table_NFI[[#This Row],[Plastic Mat]],Table_NFI[Plastic Mat])*IF(Table_NFI[[#This Row],[Distribution Date]]&gt;"2014-04-01",1,2.5)</f>
        <v>#REF!</v>
      </c>
      <c r="AJ69" s="128" t="e">
        <f>IF(NFI_Expiration=1,IF(#REF!&lt;VLOOKUP(S$5,NFI,5,0),1,0)*Table_NFI[[#This Row],[Winter Clothes Adult]],Table_NFI[Winter Clothes Adult])</f>
        <v>#REF!</v>
      </c>
      <c r="AK69" s="128" t="e">
        <f>IF(NFI_Expiration=1,IF(#REF!&lt;VLOOKUP(T$5,NFI,5,0),1,0)*Table_NFI[[#This Row],[Winter Clothes Children]],Table_NFI[Winter Clothes Children])</f>
        <v>#REF!</v>
      </c>
      <c r="AL69" s="128" t="e">
        <f>IF(NFI_Expiration=1,IF(#REF!&lt;VLOOKUP(U$5,NFI,5,0),1,0)*Table_NFI[[#This Row],[Winter Items Other]],Table_NFI[Winter Items Other])</f>
        <v>#REF!</v>
      </c>
      <c r="AM69" s="128" t="e">
        <f>IF(NFI_Expiration=1,IF(#REF!&lt;VLOOKUP(N$5,NFI,5,0),1,0)*Table_NFI[[#This Row],[Winter Blanket]],Table_NFI[[#This Row],[Winter Blanket]])</f>
        <v>#REF!</v>
      </c>
      <c r="AN69" s="128">
        <f>IF(Table_NFI[[#This Row],[Winter Clothes Adult]]+Table_NFI[[#This Row],[Winter Clothes Children]]+Table_NFI[[#This Row],[Winter Items Other]]+Table_NFI[[#This Row],[Winter Blanket]]&gt;0,1,0)</f>
        <v>0</v>
      </c>
      <c r="AO69" s="146" t="e">
        <f>IF(NFI_Expiration=1,IF(#REF!&lt;VLOOKUP(W$5,NFI,5,0),1,0)*Table_NFI[[#This Row],[Jerry Can]],Table_NFI[Jerry Can])</f>
        <v>#REF!</v>
      </c>
      <c r="AP69" s="146" t="e">
        <f>IF(NFI_Expiration=1,IF(#REF!&lt;VLOOKUP(W$5,NFI,5,0),1,0)*Table_NFI[[#This Row],[Shelter Tool kit]],Table_NFI[Shelter Tool kit])</f>
        <v>#REF!</v>
      </c>
      <c r="AQ69" s="146" t="e">
        <f>IF(NFI_Expiration=1,IF(#REF!&lt;VLOOKUP(W$5,NFI,5,0),1,0)*Table_NFI[[#This Row],[Tent]],Table_NFI[Tent])</f>
        <v>#REF!</v>
      </c>
      <c r="AR69" s="220" t="str">
        <f>IFERROR(VLOOKUP(Table_NFI[[#This Row],[Location]],CL,2,0),"")</f>
        <v>MMR001CMP008</v>
      </c>
      <c r="AS69" s="221" t="s">
        <v>1271</v>
      </c>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c r="CB69" s="222"/>
      <c r="CC69" s="222"/>
      <c r="CD69" s="222"/>
      <c r="CE69" s="222"/>
      <c r="CF69" s="222"/>
      <c r="CG69" s="222"/>
      <c r="CH69" s="222"/>
      <c r="CI69" s="222"/>
      <c r="CJ69" s="222"/>
      <c r="CK69" s="222"/>
      <c r="CL69" s="222"/>
      <c r="CM69" s="222"/>
      <c r="CN69" s="222"/>
      <c r="CO69" s="222"/>
      <c r="CP69" s="222"/>
      <c r="CQ69" s="222"/>
      <c r="CR69" s="222"/>
      <c r="CS69" s="222"/>
      <c r="CT69" s="222"/>
      <c r="CU69" s="222"/>
      <c r="CV69" s="222"/>
      <c r="CW69" s="222"/>
      <c r="CX69" s="222"/>
      <c r="CY69" s="222"/>
      <c r="CZ69" s="222"/>
      <c r="DA69" s="222"/>
      <c r="DB69" s="222"/>
      <c r="DC69" s="222"/>
      <c r="DD69" s="222"/>
      <c r="DE69" s="222"/>
      <c r="DF69" s="222"/>
      <c r="DG69" s="222"/>
      <c r="DH69" s="222"/>
      <c r="DI69" s="222"/>
      <c r="DJ69" s="222"/>
      <c r="DK69" s="222"/>
      <c r="DL69" s="222"/>
      <c r="DM69" s="222"/>
    </row>
    <row r="70" spans="1:117" s="407" customFormat="1" ht="15" customHeight="1" x14ac:dyDescent="0.25">
      <c r="B70" s="748">
        <v>42779</v>
      </c>
      <c r="C70" s="218" t="s">
        <v>420</v>
      </c>
      <c r="D70" s="218" t="s">
        <v>424</v>
      </c>
      <c r="E70" s="218" t="s">
        <v>378</v>
      </c>
      <c r="F70" s="218" t="s">
        <v>237</v>
      </c>
      <c r="G70" s="218" t="s">
        <v>258</v>
      </c>
      <c r="H70" s="218"/>
      <c r="I70" s="126"/>
      <c r="J70" s="126">
        <v>1</v>
      </c>
      <c r="K70" s="126">
        <v>1</v>
      </c>
      <c r="L70" s="126">
        <v>2</v>
      </c>
      <c r="M70" s="126">
        <v>1</v>
      </c>
      <c r="N70" s="126">
        <v>3</v>
      </c>
      <c r="O70" s="126">
        <v>1</v>
      </c>
      <c r="P70" s="126"/>
      <c r="Q70" s="126">
        <v>1</v>
      </c>
      <c r="R70" s="126">
        <v>3</v>
      </c>
      <c r="S70" s="126"/>
      <c r="T70" s="126"/>
      <c r="U70" s="126"/>
      <c r="V70" s="126"/>
      <c r="W70" s="408">
        <v>1</v>
      </c>
      <c r="X70" s="408"/>
      <c r="Y70" s="408"/>
      <c r="Z70" s="408"/>
      <c r="AA70" s="128" t="e">
        <f>IF(NFI_Expiration=1,IF(#REF!&lt;VLOOKUP(J$5,NFI,5,0),1,0)*Table_NFI[[#This Row],[NFI Core Kit]],Table_NFI[NFI Core Kit])</f>
        <v>#REF!</v>
      </c>
      <c r="AB70" s="128" t="e">
        <f>IF(NFI_Expiration=1,IF(#REF!&lt;VLOOKUP(K$5,NFI,5,0),1,0)*Table_NFI[[#This Row],[Sanitary Kit]],Table_NFI[Sanitary Kit])</f>
        <v>#REF!</v>
      </c>
      <c r="AC70" s="128" t="e">
        <f>IF(NFI_Expiration=1,IF(#REF!&lt;VLOOKUP(L$5,NFI,5,0),1,0)*Table_NFI[[#This Row],[Mosquito net]],Table_NFI[Mosquito net])</f>
        <v>#REF!</v>
      </c>
      <c r="AD70" s="128" t="e">
        <f>IF(NFI_Expiration=1,IF(#REF!&lt;VLOOKUP(M$5,NFI,5,0),1,0)*Table_NFI[[#This Row],[Tarpaulin]],Table_NFI[[#This Row],[Tarpaulin]])</f>
        <v>#REF!</v>
      </c>
      <c r="AE70" s="128" t="e">
        <f>IF(NFI_Expiration=1,IF(#REF!&lt;VLOOKUP(N$5,NFI,5,0),1,0)*Table_NFI[[#This Row],[Blanket]],Table_NFI[[#This Row],[Blanket]])</f>
        <v>#REF!</v>
      </c>
      <c r="AF70" s="128" t="e">
        <f>IF(NFI_Expiration=1,IF(#REF!&lt;VLOOKUP(O$5,NFI,5,0),1,0)*Table_NFI[[#This Row],[Kitchen Set]],Table_NFI[Kitchen Set])</f>
        <v>#REF!</v>
      </c>
      <c r="AG70" s="128" t="e">
        <f>IF(NFI_Expiration=1,IF(#REF!&lt;VLOOKUP(P$5,NFI,5,0),1,0)*Table_NFI[[#This Row],[Clothes Kit]],Table_NFI[Clothes Kit])</f>
        <v>#REF!</v>
      </c>
      <c r="AH70" s="128" t="e">
        <f>IF(NFI_Expiration=1,IF(#REF!&lt;VLOOKUP(Q$5,NFI,5,0),1,0)*Table_NFI[[#This Row],[Plastic Bucket]],Table_NFI[Plastic Bucket])</f>
        <v>#REF!</v>
      </c>
      <c r="AI70" s="128" t="e">
        <f>IF(NFI_Expiration=1,IF(#REF!&lt;VLOOKUP(R$5,NFI,5,0),1,0)*Table_NFI[[#This Row],[Plastic Mat]],Table_NFI[Plastic Mat])*IF(Table_NFI[[#This Row],[Distribution Date]]&gt;"2014-04-01",1,2.5)</f>
        <v>#REF!</v>
      </c>
      <c r="AJ70" s="128" t="e">
        <f>IF(NFI_Expiration=1,IF(#REF!&lt;VLOOKUP(S$5,NFI,5,0),1,0)*Table_NFI[[#This Row],[Winter Clothes Adult]],Table_NFI[Winter Clothes Adult])</f>
        <v>#REF!</v>
      </c>
      <c r="AK70" s="128" t="e">
        <f>IF(NFI_Expiration=1,IF(#REF!&lt;VLOOKUP(T$5,NFI,5,0),1,0)*Table_NFI[[#This Row],[Winter Clothes Children]],Table_NFI[Winter Clothes Children])</f>
        <v>#REF!</v>
      </c>
      <c r="AL70" s="128" t="e">
        <f>IF(NFI_Expiration=1,IF(#REF!&lt;VLOOKUP(U$5,NFI,5,0),1,0)*Table_NFI[[#This Row],[Winter Items Other]],Table_NFI[Winter Items Other])</f>
        <v>#REF!</v>
      </c>
      <c r="AM70" s="128" t="e">
        <f>IF(NFI_Expiration=1,IF(#REF!&lt;VLOOKUP(N$5,NFI,5,0),1,0)*Table_NFI[[#This Row],[Winter Blanket]],Table_NFI[[#This Row],[Winter Blanket]])</f>
        <v>#REF!</v>
      </c>
      <c r="AN70" s="128">
        <f>IF(Table_NFI[[#This Row],[Winter Clothes Adult]]+Table_NFI[[#This Row],[Winter Clothes Children]]+Table_NFI[[#This Row],[Winter Items Other]]+Table_NFI[[#This Row],[Winter Blanket]]&gt;0,1,0)</f>
        <v>0</v>
      </c>
      <c r="AO70" s="146" t="e">
        <f>IF(NFI_Expiration=1,IF(#REF!&lt;VLOOKUP(W$5,NFI,5,0),1,0)*Table_NFI[[#This Row],[Jerry Can]],Table_NFI[Jerry Can])</f>
        <v>#REF!</v>
      </c>
      <c r="AP70" s="146" t="e">
        <f>IF(NFI_Expiration=1,IF(#REF!&lt;VLOOKUP(W$5,NFI,5,0),1,0)*Table_NFI[[#This Row],[Shelter Tool kit]],Table_NFI[Shelter Tool kit])</f>
        <v>#REF!</v>
      </c>
      <c r="AQ70" s="146" t="e">
        <f>IF(NFI_Expiration=1,IF(#REF!&lt;VLOOKUP(W$5,NFI,5,0),1,0)*Table_NFI[[#This Row],[Tent]],Table_NFI[Tent])</f>
        <v>#REF!</v>
      </c>
      <c r="AR70" s="220" t="str">
        <f>IFERROR(VLOOKUP(Table_NFI[[#This Row],[Location]],CL,2,0),"")</f>
        <v>MMR001CMP016</v>
      </c>
      <c r="AS70" s="221" t="s">
        <v>1271</v>
      </c>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c r="CB70" s="222"/>
      <c r="CC70" s="222"/>
      <c r="CD70" s="222"/>
      <c r="CE70" s="222"/>
      <c r="CF70" s="222"/>
      <c r="CG70" s="222"/>
      <c r="CH70" s="222"/>
      <c r="CI70" s="222"/>
      <c r="CJ70" s="222"/>
      <c r="CK70" s="222"/>
      <c r="CL70" s="222"/>
      <c r="CM70" s="222"/>
      <c r="CN70" s="222"/>
      <c r="CO70" s="222"/>
      <c r="CP70" s="222"/>
      <c r="CQ70" s="222"/>
      <c r="CR70" s="222"/>
      <c r="CS70" s="222"/>
      <c r="CT70" s="222"/>
      <c r="CU70" s="222"/>
      <c r="CV70" s="222"/>
      <c r="CW70" s="222"/>
      <c r="CX70" s="222"/>
      <c r="CY70" s="222"/>
      <c r="CZ70" s="222"/>
      <c r="DA70" s="222"/>
      <c r="DB70" s="222"/>
      <c r="DC70" s="222"/>
      <c r="DD70" s="222"/>
      <c r="DE70" s="222"/>
      <c r="DF70" s="222"/>
      <c r="DG70" s="222"/>
      <c r="DH70" s="222"/>
      <c r="DI70" s="222"/>
      <c r="DJ70" s="222"/>
      <c r="DK70" s="222"/>
      <c r="DL70" s="222"/>
      <c r="DM70" s="222"/>
    </row>
    <row r="71" spans="1:117" s="407" customFormat="1" ht="15" customHeight="1" x14ac:dyDescent="0.25">
      <c r="B71" s="748">
        <v>42776</v>
      </c>
      <c r="C71" s="218" t="s">
        <v>420</v>
      </c>
      <c r="D71" s="218" t="s">
        <v>424</v>
      </c>
      <c r="E71" s="218" t="s">
        <v>378</v>
      </c>
      <c r="F71" s="218" t="s">
        <v>237</v>
      </c>
      <c r="G71" s="218" t="s">
        <v>278</v>
      </c>
      <c r="H71" s="218"/>
      <c r="I71" s="126"/>
      <c r="J71" s="126">
        <v>4</v>
      </c>
      <c r="K71" s="126">
        <v>4</v>
      </c>
      <c r="L71" s="126">
        <v>10</v>
      </c>
      <c r="M71" s="126">
        <v>4</v>
      </c>
      <c r="N71" s="126">
        <v>14</v>
      </c>
      <c r="O71" s="126">
        <v>4</v>
      </c>
      <c r="P71" s="126"/>
      <c r="Q71" s="126">
        <v>4</v>
      </c>
      <c r="R71" s="126">
        <v>14</v>
      </c>
      <c r="S71" s="126"/>
      <c r="T71" s="126"/>
      <c r="U71" s="126"/>
      <c r="V71" s="126"/>
      <c r="W71" s="408">
        <v>4</v>
      </c>
      <c r="X71" s="408"/>
      <c r="Y71" s="408"/>
      <c r="Z71" s="408"/>
      <c r="AA71" s="128" t="e">
        <f>IF(NFI_Expiration=1,IF(#REF!&lt;VLOOKUP(J$5,NFI,5,0),1,0)*Table_NFI[[#This Row],[NFI Core Kit]],Table_NFI[NFI Core Kit])</f>
        <v>#REF!</v>
      </c>
      <c r="AB71" s="128" t="e">
        <f>IF(NFI_Expiration=1,IF(#REF!&lt;VLOOKUP(K$5,NFI,5,0),1,0)*Table_NFI[[#This Row],[Sanitary Kit]],Table_NFI[Sanitary Kit])</f>
        <v>#REF!</v>
      </c>
      <c r="AC71" s="128" t="e">
        <f>IF(NFI_Expiration=1,IF(#REF!&lt;VLOOKUP(L$5,NFI,5,0),1,0)*Table_NFI[[#This Row],[Mosquito net]],Table_NFI[Mosquito net])</f>
        <v>#REF!</v>
      </c>
      <c r="AD71" s="128" t="e">
        <f>IF(NFI_Expiration=1,IF(#REF!&lt;VLOOKUP(M$5,NFI,5,0),1,0)*Table_NFI[[#This Row],[Tarpaulin]],Table_NFI[[#This Row],[Tarpaulin]])</f>
        <v>#REF!</v>
      </c>
      <c r="AE71" s="128" t="e">
        <f>IF(NFI_Expiration=1,IF(#REF!&lt;VLOOKUP(N$5,NFI,5,0),1,0)*Table_NFI[[#This Row],[Blanket]],Table_NFI[[#This Row],[Blanket]])</f>
        <v>#REF!</v>
      </c>
      <c r="AF71" s="128" t="e">
        <f>IF(NFI_Expiration=1,IF(#REF!&lt;VLOOKUP(O$5,NFI,5,0),1,0)*Table_NFI[[#This Row],[Kitchen Set]],Table_NFI[Kitchen Set])</f>
        <v>#REF!</v>
      </c>
      <c r="AG71" s="128" t="e">
        <f>IF(NFI_Expiration=1,IF(#REF!&lt;VLOOKUP(P$5,NFI,5,0),1,0)*Table_NFI[[#This Row],[Clothes Kit]],Table_NFI[Clothes Kit])</f>
        <v>#REF!</v>
      </c>
      <c r="AH71" s="128" t="e">
        <f>IF(NFI_Expiration=1,IF(#REF!&lt;VLOOKUP(Q$5,NFI,5,0),1,0)*Table_NFI[[#This Row],[Plastic Bucket]],Table_NFI[Plastic Bucket])</f>
        <v>#REF!</v>
      </c>
      <c r="AI71" s="128" t="e">
        <f>IF(NFI_Expiration=1,IF(#REF!&lt;VLOOKUP(R$5,NFI,5,0),1,0)*Table_NFI[[#This Row],[Plastic Mat]],Table_NFI[Plastic Mat])*IF(Table_NFI[[#This Row],[Distribution Date]]&gt;"2014-04-01",1,2.5)</f>
        <v>#REF!</v>
      </c>
      <c r="AJ71" s="128" t="e">
        <f>IF(NFI_Expiration=1,IF(#REF!&lt;VLOOKUP(S$5,NFI,5,0),1,0)*Table_NFI[[#This Row],[Winter Clothes Adult]],Table_NFI[Winter Clothes Adult])</f>
        <v>#REF!</v>
      </c>
      <c r="AK71" s="128" t="e">
        <f>IF(NFI_Expiration=1,IF(#REF!&lt;VLOOKUP(T$5,NFI,5,0),1,0)*Table_NFI[[#This Row],[Winter Clothes Children]],Table_NFI[Winter Clothes Children])</f>
        <v>#REF!</v>
      </c>
      <c r="AL71" s="128" t="e">
        <f>IF(NFI_Expiration=1,IF(#REF!&lt;VLOOKUP(U$5,NFI,5,0),1,0)*Table_NFI[[#This Row],[Winter Items Other]],Table_NFI[Winter Items Other])</f>
        <v>#REF!</v>
      </c>
      <c r="AM71" s="128" t="e">
        <f>IF(NFI_Expiration=1,IF(#REF!&lt;VLOOKUP(N$5,NFI,5,0),1,0)*Table_NFI[[#This Row],[Winter Blanket]],Table_NFI[[#This Row],[Winter Blanket]])</f>
        <v>#REF!</v>
      </c>
      <c r="AN71" s="128">
        <f>IF(Table_NFI[[#This Row],[Winter Clothes Adult]]+Table_NFI[[#This Row],[Winter Clothes Children]]+Table_NFI[[#This Row],[Winter Items Other]]+Table_NFI[[#This Row],[Winter Blanket]]&gt;0,1,0)</f>
        <v>0</v>
      </c>
      <c r="AO71" s="146" t="e">
        <f>IF(NFI_Expiration=1,IF(#REF!&lt;VLOOKUP(W$5,NFI,5,0),1,0)*Table_NFI[[#This Row],[Jerry Can]],Table_NFI[Jerry Can])</f>
        <v>#REF!</v>
      </c>
      <c r="AP71" s="146" t="e">
        <f>IF(NFI_Expiration=1,IF(#REF!&lt;VLOOKUP(W$5,NFI,5,0),1,0)*Table_NFI[[#This Row],[Shelter Tool kit]],Table_NFI[Shelter Tool kit])</f>
        <v>#REF!</v>
      </c>
      <c r="AQ71" s="146" t="e">
        <f>IF(NFI_Expiration=1,IF(#REF!&lt;VLOOKUP(W$5,NFI,5,0),1,0)*Table_NFI[[#This Row],[Tent]],Table_NFI[Tent])</f>
        <v>#REF!</v>
      </c>
      <c r="AR71" s="220" t="str">
        <f>IFERROR(VLOOKUP(Table_NFI[[#This Row],[Location]],CL,2,0),"")</f>
        <v>MMR001CMP007</v>
      </c>
      <c r="AS71" s="221" t="s">
        <v>1271</v>
      </c>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c r="CB71" s="222"/>
      <c r="CC71" s="222"/>
      <c r="CD71" s="222"/>
      <c r="CE71" s="222"/>
      <c r="CF71" s="222"/>
      <c r="CG71" s="222"/>
      <c r="CH71" s="222"/>
      <c r="CI71" s="222"/>
      <c r="CJ71" s="222"/>
      <c r="CK71" s="222"/>
      <c r="CL71" s="222"/>
      <c r="CM71" s="222"/>
      <c r="CN71" s="222"/>
      <c r="CO71" s="222"/>
      <c r="CP71" s="222"/>
      <c r="CQ71" s="222"/>
      <c r="CR71" s="222"/>
      <c r="CS71" s="222"/>
      <c r="CT71" s="222"/>
      <c r="CU71" s="222"/>
      <c r="CV71" s="222"/>
      <c r="CW71" s="222"/>
      <c r="CX71" s="222"/>
      <c r="CY71" s="222"/>
      <c r="CZ71" s="222"/>
      <c r="DA71" s="222"/>
      <c r="DB71" s="222"/>
      <c r="DC71" s="222"/>
      <c r="DD71" s="222"/>
      <c r="DE71" s="222"/>
      <c r="DF71" s="222"/>
      <c r="DG71" s="222"/>
      <c r="DH71" s="222"/>
      <c r="DI71" s="222"/>
      <c r="DJ71" s="222"/>
      <c r="DK71" s="222"/>
      <c r="DL71" s="222"/>
      <c r="DM71" s="222"/>
    </row>
    <row r="72" spans="1:117" s="407" customFormat="1" ht="15" customHeight="1" x14ac:dyDescent="0.25">
      <c r="B72" s="748">
        <v>42776</v>
      </c>
      <c r="C72" s="218" t="s">
        <v>420</v>
      </c>
      <c r="D72" s="218" t="s">
        <v>424</v>
      </c>
      <c r="E72" s="218" t="s">
        <v>378</v>
      </c>
      <c r="F72" s="218" t="s">
        <v>237</v>
      </c>
      <c r="G72" s="218" t="s">
        <v>268</v>
      </c>
      <c r="H72" s="218"/>
      <c r="I72" s="126"/>
      <c r="J72" s="126">
        <v>4</v>
      </c>
      <c r="K72" s="126">
        <v>4</v>
      </c>
      <c r="L72" s="126">
        <v>8</v>
      </c>
      <c r="M72" s="126">
        <v>4</v>
      </c>
      <c r="N72" s="126">
        <v>11</v>
      </c>
      <c r="O72" s="126">
        <v>4</v>
      </c>
      <c r="P72" s="126"/>
      <c r="Q72" s="126">
        <v>4</v>
      </c>
      <c r="R72" s="126">
        <v>11</v>
      </c>
      <c r="S72" s="126"/>
      <c r="T72" s="126"/>
      <c r="U72" s="126"/>
      <c r="V72" s="126"/>
      <c r="W72" s="408">
        <v>4</v>
      </c>
      <c r="X72" s="408"/>
      <c r="Y72" s="408"/>
      <c r="Z72" s="408"/>
      <c r="AA72" s="128" t="e">
        <f>IF(NFI_Expiration=1,IF(#REF!&lt;VLOOKUP(J$5,NFI,5,0),1,0)*Table_NFI[[#This Row],[NFI Core Kit]],Table_NFI[NFI Core Kit])</f>
        <v>#REF!</v>
      </c>
      <c r="AB72" s="128" t="e">
        <f>IF(NFI_Expiration=1,IF(#REF!&lt;VLOOKUP(K$5,NFI,5,0),1,0)*Table_NFI[[#This Row],[Sanitary Kit]],Table_NFI[Sanitary Kit])</f>
        <v>#REF!</v>
      </c>
      <c r="AC72" s="128" t="e">
        <f>IF(NFI_Expiration=1,IF(#REF!&lt;VLOOKUP(L$5,NFI,5,0),1,0)*Table_NFI[[#This Row],[Mosquito net]],Table_NFI[Mosquito net])</f>
        <v>#REF!</v>
      </c>
      <c r="AD72" s="128" t="e">
        <f>IF(NFI_Expiration=1,IF(#REF!&lt;VLOOKUP(M$5,NFI,5,0),1,0)*Table_NFI[[#This Row],[Tarpaulin]],Table_NFI[[#This Row],[Tarpaulin]])</f>
        <v>#REF!</v>
      </c>
      <c r="AE72" s="128" t="e">
        <f>IF(NFI_Expiration=1,IF(#REF!&lt;VLOOKUP(N$5,NFI,5,0),1,0)*Table_NFI[[#This Row],[Blanket]],Table_NFI[[#This Row],[Blanket]])</f>
        <v>#REF!</v>
      </c>
      <c r="AF72" s="128" t="e">
        <f>IF(NFI_Expiration=1,IF(#REF!&lt;VLOOKUP(O$5,NFI,5,0),1,0)*Table_NFI[[#This Row],[Kitchen Set]],Table_NFI[Kitchen Set])</f>
        <v>#REF!</v>
      </c>
      <c r="AG72" s="128" t="e">
        <f>IF(NFI_Expiration=1,IF(#REF!&lt;VLOOKUP(P$5,NFI,5,0),1,0)*Table_NFI[[#This Row],[Clothes Kit]],Table_NFI[Clothes Kit])</f>
        <v>#REF!</v>
      </c>
      <c r="AH72" s="128" t="e">
        <f>IF(NFI_Expiration=1,IF(#REF!&lt;VLOOKUP(Q$5,NFI,5,0),1,0)*Table_NFI[[#This Row],[Plastic Bucket]],Table_NFI[Plastic Bucket])</f>
        <v>#REF!</v>
      </c>
      <c r="AI72" s="128" t="e">
        <f>IF(NFI_Expiration=1,IF(#REF!&lt;VLOOKUP(R$5,NFI,5,0),1,0)*Table_NFI[[#This Row],[Plastic Mat]],Table_NFI[Plastic Mat])*IF(Table_NFI[[#This Row],[Distribution Date]]&gt;"2014-04-01",1,2.5)</f>
        <v>#REF!</v>
      </c>
      <c r="AJ72" s="128" t="e">
        <f>IF(NFI_Expiration=1,IF(#REF!&lt;VLOOKUP(S$5,NFI,5,0),1,0)*Table_NFI[[#This Row],[Winter Clothes Adult]],Table_NFI[Winter Clothes Adult])</f>
        <v>#REF!</v>
      </c>
      <c r="AK72" s="128" t="e">
        <f>IF(NFI_Expiration=1,IF(#REF!&lt;VLOOKUP(T$5,NFI,5,0),1,0)*Table_NFI[[#This Row],[Winter Clothes Children]],Table_NFI[Winter Clothes Children])</f>
        <v>#REF!</v>
      </c>
      <c r="AL72" s="128" t="e">
        <f>IF(NFI_Expiration=1,IF(#REF!&lt;VLOOKUP(U$5,NFI,5,0),1,0)*Table_NFI[[#This Row],[Winter Items Other]],Table_NFI[Winter Items Other])</f>
        <v>#REF!</v>
      </c>
      <c r="AM72" s="128" t="e">
        <f>IF(NFI_Expiration=1,IF(#REF!&lt;VLOOKUP(N$5,NFI,5,0),1,0)*Table_NFI[[#This Row],[Winter Blanket]],Table_NFI[[#This Row],[Winter Blanket]])</f>
        <v>#REF!</v>
      </c>
      <c r="AN72" s="128">
        <f>IF(Table_NFI[[#This Row],[Winter Clothes Adult]]+Table_NFI[[#This Row],[Winter Clothes Children]]+Table_NFI[[#This Row],[Winter Items Other]]+Table_NFI[[#This Row],[Winter Blanket]]&gt;0,1,0)</f>
        <v>0</v>
      </c>
      <c r="AO72" s="146" t="e">
        <f>IF(NFI_Expiration=1,IF(#REF!&lt;VLOOKUP(W$5,NFI,5,0),1,0)*Table_NFI[[#This Row],[Jerry Can]],Table_NFI[Jerry Can])</f>
        <v>#REF!</v>
      </c>
      <c r="AP72" s="146" t="e">
        <f>IF(NFI_Expiration=1,IF(#REF!&lt;VLOOKUP(W$5,NFI,5,0),1,0)*Table_NFI[[#This Row],[Shelter Tool kit]],Table_NFI[Shelter Tool kit])</f>
        <v>#REF!</v>
      </c>
      <c r="AQ72" s="146" t="e">
        <f>IF(NFI_Expiration=1,IF(#REF!&lt;VLOOKUP(W$5,NFI,5,0),1,0)*Table_NFI[[#This Row],[Tent]],Table_NFI[Tent])</f>
        <v>#REF!</v>
      </c>
      <c r="AR72" s="220" t="str">
        <f>IFERROR(VLOOKUP(Table_NFI[[#This Row],[Location]],CL,2,0),"")</f>
        <v>MMR001CMP002</v>
      </c>
      <c r="AS72" s="221" t="s">
        <v>1271</v>
      </c>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22"/>
      <c r="CU72" s="222"/>
      <c r="CV72" s="222"/>
      <c r="CW72" s="222"/>
      <c r="CX72" s="222"/>
      <c r="CY72" s="222"/>
      <c r="CZ72" s="222"/>
      <c r="DA72" s="222"/>
      <c r="DB72" s="222"/>
      <c r="DC72" s="222"/>
      <c r="DD72" s="222"/>
      <c r="DE72" s="222"/>
      <c r="DF72" s="222"/>
      <c r="DG72" s="222"/>
      <c r="DH72" s="222"/>
      <c r="DI72" s="222"/>
      <c r="DJ72" s="222"/>
      <c r="DK72" s="222"/>
      <c r="DL72" s="222"/>
      <c r="DM72" s="222"/>
    </row>
    <row r="73" spans="1:117" s="407" customFormat="1" ht="15" customHeight="1" x14ac:dyDescent="0.25">
      <c r="B73" s="748">
        <v>42776</v>
      </c>
      <c r="C73" s="218" t="s">
        <v>420</v>
      </c>
      <c r="D73" s="218" t="s">
        <v>424</v>
      </c>
      <c r="E73" s="218" t="s">
        <v>378</v>
      </c>
      <c r="F73" s="218" t="s">
        <v>237</v>
      </c>
      <c r="G73" s="218" t="s">
        <v>250</v>
      </c>
      <c r="H73" s="218"/>
      <c r="I73" s="126"/>
      <c r="J73" s="126">
        <v>1</v>
      </c>
      <c r="K73" s="126">
        <v>1</v>
      </c>
      <c r="L73" s="126">
        <v>2</v>
      </c>
      <c r="M73" s="126">
        <v>1</v>
      </c>
      <c r="N73" s="126">
        <v>3</v>
      </c>
      <c r="O73" s="126">
        <v>1</v>
      </c>
      <c r="P73" s="126"/>
      <c r="Q73" s="126">
        <v>1</v>
      </c>
      <c r="R73" s="126">
        <v>3</v>
      </c>
      <c r="S73" s="126"/>
      <c r="T73" s="126"/>
      <c r="U73" s="126"/>
      <c r="V73" s="126"/>
      <c r="W73" s="408">
        <v>1</v>
      </c>
      <c r="X73" s="408"/>
      <c r="Y73" s="126"/>
      <c r="Z73" s="126"/>
      <c r="AA73" s="128" t="e">
        <f>IF(NFI_Expiration=1,IF(#REF!&lt;VLOOKUP(J$5,NFI,5,0),1,0)*Table_NFI[[#This Row],[NFI Core Kit]],Table_NFI[NFI Core Kit])</f>
        <v>#REF!</v>
      </c>
      <c r="AB73" s="128" t="e">
        <f>IF(NFI_Expiration=1,IF(#REF!&lt;VLOOKUP(K$5,NFI,5,0),1,0)*Table_NFI[[#This Row],[Sanitary Kit]],Table_NFI[Sanitary Kit])</f>
        <v>#REF!</v>
      </c>
      <c r="AC73" s="128" t="e">
        <f>IF(NFI_Expiration=1,IF(#REF!&lt;VLOOKUP(L$5,NFI,5,0),1,0)*Table_NFI[[#This Row],[Mosquito net]],Table_NFI[Mosquito net])</f>
        <v>#REF!</v>
      </c>
      <c r="AD73" s="128" t="e">
        <f>IF(NFI_Expiration=1,IF(#REF!&lt;VLOOKUP(M$5,NFI,5,0),1,0)*Table_NFI[[#This Row],[Tarpaulin]],Table_NFI[[#This Row],[Tarpaulin]])</f>
        <v>#REF!</v>
      </c>
      <c r="AE73" s="128" t="e">
        <f>IF(NFI_Expiration=1,IF(#REF!&lt;VLOOKUP(N$5,NFI,5,0),1,0)*Table_NFI[[#This Row],[Blanket]],Table_NFI[[#This Row],[Blanket]])</f>
        <v>#REF!</v>
      </c>
      <c r="AF73" s="128" t="e">
        <f>IF(NFI_Expiration=1,IF(#REF!&lt;VLOOKUP(O$5,NFI,5,0),1,0)*Table_NFI[[#This Row],[Kitchen Set]],Table_NFI[Kitchen Set])</f>
        <v>#REF!</v>
      </c>
      <c r="AG73" s="128" t="e">
        <f>IF(NFI_Expiration=1,IF(#REF!&lt;VLOOKUP(P$5,NFI,5,0),1,0)*Table_NFI[[#This Row],[Clothes Kit]],Table_NFI[Clothes Kit])</f>
        <v>#REF!</v>
      </c>
      <c r="AH73" s="128" t="e">
        <f>IF(NFI_Expiration=1,IF(#REF!&lt;VLOOKUP(Q$5,NFI,5,0),1,0)*Table_NFI[[#This Row],[Plastic Bucket]],Table_NFI[Plastic Bucket])</f>
        <v>#REF!</v>
      </c>
      <c r="AI73" s="128" t="e">
        <f>IF(NFI_Expiration=1,IF(#REF!&lt;VLOOKUP(R$5,NFI,5,0),1,0)*Table_NFI[[#This Row],[Plastic Mat]],Table_NFI[Plastic Mat])*IF(Table_NFI[[#This Row],[Distribution Date]]&gt;"2014-04-01",1,2.5)</f>
        <v>#REF!</v>
      </c>
      <c r="AJ73" s="128" t="e">
        <f>IF(NFI_Expiration=1,IF(#REF!&lt;VLOOKUP(S$5,NFI,5,0),1,0)*Table_NFI[[#This Row],[Winter Clothes Adult]],Table_NFI[Winter Clothes Adult])</f>
        <v>#REF!</v>
      </c>
      <c r="AK73" s="128" t="e">
        <f>IF(NFI_Expiration=1,IF(#REF!&lt;VLOOKUP(T$5,NFI,5,0),1,0)*Table_NFI[[#This Row],[Winter Clothes Children]],Table_NFI[Winter Clothes Children])</f>
        <v>#REF!</v>
      </c>
      <c r="AL73" s="128" t="e">
        <f>IF(NFI_Expiration=1,IF(#REF!&lt;VLOOKUP(U$5,NFI,5,0),1,0)*Table_NFI[[#This Row],[Winter Items Other]],Table_NFI[Winter Items Other])</f>
        <v>#REF!</v>
      </c>
      <c r="AM73" s="128" t="e">
        <f>IF(NFI_Expiration=1,IF(#REF!&lt;VLOOKUP(N$5,NFI,5,0),1,0)*Table_NFI[[#This Row],[Winter Blanket]],Table_NFI[[#This Row],[Winter Blanket]])</f>
        <v>#REF!</v>
      </c>
      <c r="AN73" s="128">
        <f>IF(Table_NFI[[#This Row],[Winter Clothes Adult]]+Table_NFI[[#This Row],[Winter Clothes Children]]+Table_NFI[[#This Row],[Winter Items Other]]+Table_NFI[[#This Row],[Winter Blanket]]&gt;0,1,0)</f>
        <v>0</v>
      </c>
      <c r="AO73" s="146" t="e">
        <f>IF(NFI_Expiration=1,IF(#REF!&lt;VLOOKUP(W$5,NFI,5,0),1,0)*Table_NFI[[#This Row],[Jerry Can]],Table_NFI[Jerry Can])</f>
        <v>#REF!</v>
      </c>
      <c r="AP73" s="146" t="e">
        <f>IF(NFI_Expiration=1,IF(#REF!&lt;VLOOKUP(W$5,NFI,5,0),1,0)*Table_NFI[[#This Row],[Shelter Tool kit]],Table_NFI[Shelter Tool kit])</f>
        <v>#REF!</v>
      </c>
      <c r="AQ73" s="146" t="e">
        <f>IF(NFI_Expiration=1,IF(#REF!&lt;VLOOKUP(W$5,NFI,5,0),1,0)*Table_NFI[[#This Row],[Tent]],Table_NFI[Tent])</f>
        <v>#REF!</v>
      </c>
      <c r="AR73" s="220" t="str">
        <f>IFERROR(VLOOKUP(Table_NFI[[#This Row],[Location]],CL,2,0),"")</f>
        <v>MMR001CMP003</v>
      </c>
      <c r="AS73" s="221" t="s">
        <v>1271</v>
      </c>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c r="CB73" s="222"/>
      <c r="CC73" s="222"/>
      <c r="CD73" s="222"/>
      <c r="CE73" s="222"/>
      <c r="CF73" s="222"/>
      <c r="CG73" s="222"/>
      <c r="CH73" s="222"/>
      <c r="CI73" s="222"/>
      <c r="CJ73" s="222"/>
      <c r="CK73" s="222"/>
      <c r="CL73" s="222"/>
      <c r="CM73" s="222"/>
      <c r="CN73" s="222"/>
      <c r="CO73" s="222"/>
      <c r="CP73" s="222"/>
      <c r="CQ73" s="222"/>
      <c r="CR73" s="222"/>
      <c r="CS73" s="222"/>
      <c r="CT73" s="222"/>
      <c r="CU73" s="222"/>
      <c r="CV73" s="222"/>
      <c r="CW73" s="222"/>
      <c r="CX73" s="222"/>
      <c r="CY73" s="222"/>
      <c r="CZ73" s="222"/>
      <c r="DA73" s="222"/>
      <c r="DB73" s="222"/>
      <c r="DC73" s="222"/>
      <c r="DD73" s="222"/>
      <c r="DE73" s="222"/>
      <c r="DF73" s="222"/>
      <c r="DG73" s="222"/>
      <c r="DH73" s="222"/>
      <c r="DI73" s="222"/>
      <c r="DJ73" s="222"/>
      <c r="DK73" s="222"/>
      <c r="DL73" s="222"/>
      <c r="DM73" s="222"/>
    </row>
    <row r="74" spans="1:117" s="407" customFormat="1" ht="15" customHeight="1" x14ac:dyDescent="0.25">
      <c r="B74" s="748">
        <v>42776</v>
      </c>
      <c r="C74" s="218" t="s">
        <v>420</v>
      </c>
      <c r="D74" s="218" t="s">
        <v>424</v>
      </c>
      <c r="E74" s="218" t="s">
        <v>378</v>
      </c>
      <c r="F74" s="218" t="s">
        <v>237</v>
      </c>
      <c r="G74" s="218" t="s">
        <v>274</v>
      </c>
      <c r="H74" s="218"/>
      <c r="I74" s="126"/>
      <c r="J74" s="126">
        <v>1</v>
      </c>
      <c r="K74" s="126">
        <v>1</v>
      </c>
      <c r="L74" s="126">
        <v>3</v>
      </c>
      <c r="M74" s="126">
        <v>1</v>
      </c>
      <c r="N74" s="126">
        <v>4</v>
      </c>
      <c r="O74" s="126">
        <v>1</v>
      </c>
      <c r="P74" s="126"/>
      <c r="Q74" s="126">
        <v>1</v>
      </c>
      <c r="R74" s="126">
        <v>4</v>
      </c>
      <c r="S74" s="126"/>
      <c r="T74" s="126"/>
      <c r="U74" s="126"/>
      <c r="V74" s="126"/>
      <c r="W74" s="408">
        <v>1</v>
      </c>
      <c r="X74" s="408"/>
      <c r="Y74" s="408"/>
      <c r="Z74" s="408"/>
      <c r="AA74" s="128" t="e">
        <f>IF(NFI_Expiration=1,IF(#REF!&lt;VLOOKUP(J$5,NFI,5,0),1,0)*Table_NFI[[#This Row],[NFI Core Kit]],Table_NFI[NFI Core Kit])</f>
        <v>#REF!</v>
      </c>
      <c r="AB74" s="128" t="e">
        <f>IF(NFI_Expiration=1,IF(#REF!&lt;VLOOKUP(K$5,NFI,5,0),1,0)*Table_NFI[[#This Row],[Sanitary Kit]],Table_NFI[Sanitary Kit])</f>
        <v>#REF!</v>
      </c>
      <c r="AC74" s="128" t="e">
        <f>IF(NFI_Expiration=1,IF(#REF!&lt;VLOOKUP(L$5,NFI,5,0),1,0)*Table_NFI[[#This Row],[Mosquito net]],Table_NFI[Mosquito net])</f>
        <v>#REF!</v>
      </c>
      <c r="AD74" s="128" t="e">
        <f>IF(NFI_Expiration=1,IF(#REF!&lt;VLOOKUP(M$5,NFI,5,0),1,0)*Table_NFI[[#This Row],[Tarpaulin]],Table_NFI[[#This Row],[Tarpaulin]])</f>
        <v>#REF!</v>
      </c>
      <c r="AE74" s="128" t="e">
        <f>IF(NFI_Expiration=1,IF(#REF!&lt;VLOOKUP(N$5,NFI,5,0),1,0)*Table_NFI[[#This Row],[Blanket]],Table_NFI[[#This Row],[Blanket]])</f>
        <v>#REF!</v>
      </c>
      <c r="AF74" s="128" t="e">
        <f>IF(NFI_Expiration=1,IF(#REF!&lt;VLOOKUP(O$5,NFI,5,0),1,0)*Table_NFI[[#This Row],[Kitchen Set]],Table_NFI[Kitchen Set])</f>
        <v>#REF!</v>
      </c>
      <c r="AG74" s="128" t="e">
        <f>IF(NFI_Expiration=1,IF(#REF!&lt;VLOOKUP(P$5,NFI,5,0),1,0)*Table_NFI[[#This Row],[Clothes Kit]],Table_NFI[Clothes Kit])</f>
        <v>#REF!</v>
      </c>
      <c r="AH74" s="128" t="e">
        <f>IF(NFI_Expiration=1,IF(#REF!&lt;VLOOKUP(Q$5,NFI,5,0),1,0)*Table_NFI[[#This Row],[Plastic Bucket]],Table_NFI[Plastic Bucket])</f>
        <v>#REF!</v>
      </c>
      <c r="AI74" s="128" t="e">
        <f>IF(NFI_Expiration=1,IF(#REF!&lt;VLOOKUP(R$5,NFI,5,0),1,0)*Table_NFI[[#This Row],[Plastic Mat]],Table_NFI[Plastic Mat])*IF(Table_NFI[[#This Row],[Distribution Date]]&gt;"2014-04-01",1,2.5)</f>
        <v>#REF!</v>
      </c>
      <c r="AJ74" s="128" t="e">
        <f>IF(NFI_Expiration=1,IF(#REF!&lt;VLOOKUP(S$5,NFI,5,0),1,0)*Table_NFI[[#This Row],[Winter Clothes Adult]],Table_NFI[Winter Clothes Adult])</f>
        <v>#REF!</v>
      </c>
      <c r="AK74" s="128" t="e">
        <f>IF(NFI_Expiration=1,IF(#REF!&lt;VLOOKUP(T$5,NFI,5,0),1,0)*Table_NFI[[#This Row],[Winter Clothes Children]],Table_NFI[Winter Clothes Children])</f>
        <v>#REF!</v>
      </c>
      <c r="AL74" s="128" t="e">
        <f>IF(NFI_Expiration=1,IF(#REF!&lt;VLOOKUP(U$5,NFI,5,0),1,0)*Table_NFI[[#This Row],[Winter Items Other]],Table_NFI[Winter Items Other])</f>
        <v>#REF!</v>
      </c>
      <c r="AM74" s="128" t="e">
        <f>IF(NFI_Expiration=1,IF(#REF!&lt;VLOOKUP(N$5,NFI,5,0),1,0)*Table_NFI[[#This Row],[Winter Blanket]],Table_NFI[[#This Row],[Winter Blanket]])</f>
        <v>#REF!</v>
      </c>
      <c r="AN74" s="128">
        <f>IF(Table_NFI[[#This Row],[Winter Clothes Adult]]+Table_NFI[[#This Row],[Winter Clothes Children]]+Table_NFI[[#This Row],[Winter Items Other]]+Table_NFI[[#This Row],[Winter Blanket]]&gt;0,1,0)</f>
        <v>0</v>
      </c>
      <c r="AO74" s="146" t="e">
        <f>IF(NFI_Expiration=1,IF(#REF!&lt;VLOOKUP(W$5,NFI,5,0),1,0)*Table_NFI[[#This Row],[Jerry Can]],Table_NFI[Jerry Can])</f>
        <v>#REF!</v>
      </c>
      <c r="AP74" s="146" t="e">
        <f>IF(NFI_Expiration=1,IF(#REF!&lt;VLOOKUP(W$5,NFI,5,0),1,0)*Table_NFI[[#This Row],[Shelter Tool kit]],Table_NFI[Shelter Tool kit])</f>
        <v>#REF!</v>
      </c>
      <c r="AQ74" s="146" t="e">
        <f>IF(NFI_Expiration=1,IF(#REF!&lt;VLOOKUP(W$5,NFI,5,0),1,0)*Table_NFI[[#This Row],[Tent]],Table_NFI[Tent])</f>
        <v>#REF!</v>
      </c>
      <c r="AR74" s="220" t="str">
        <f>IFERROR(VLOOKUP(Table_NFI[[#This Row],[Location]],CL,2,0),"")</f>
        <v>MMR001CMP005</v>
      </c>
      <c r="AS74" s="221" t="s">
        <v>1271</v>
      </c>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s="222"/>
      <c r="CC74" s="222"/>
      <c r="CD74" s="222"/>
      <c r="CE74" s="222"/>
      <c r="CF74" s="222"/>
      <c r="CG74" s="222"/>
      <c r="CH74" s="222"/>
      <c r="CI74" s="222"/>
      <c r="CJ74" s="222"/>
      <c r="CK74" s="222"/>
      <c r="CL74" s="222"/>
      <c r="CM74" s="222"/>
      <c r="CN74" s="222"/>
      <c r="CO74" s="222"/>
      <c r="CP74" s="222"/>
      <c r="CQ74" s="222"/>
      <c r="CR74" s="222"/>
      <c r="CS74" s="222"/>
      <c r="CT74" s="222"/>
      <c r="CU74" s="222"/>
      <c r="CV74" s="222"/>
      <c r="CW74" s="222"/>
      <c r="CX74" s="222"/>
      <c r="CY74" s="222"/>
      <c r="CZ74" s="222"/>
      <c r="DA74" s="222"/>
      <c r="DB74" s="222"/>
      <c r="DC74" s="222"/>
      <c r="DD74" s="222"/>
      <c r="DE74" s="222"/>
      <c r="DF74" s="222"/>
      <c r="DG74" s="222"/>
      <c r="DH74" s="222"/>
      <c r="DI74" s="222"/>
      <c r="DJ74" s="222"/>
      <c r="DK74" s="222"/>
      <c r="DL74" s="222"/>
      <c r="DM74" s="222"/>
    </row>
    <row r="75" spans="1:117" s="407" customFormat="1" ht="14.45" customHeight="1" x14ac:dyDescent="0.25">
      <c r="B75" s="748">
        <v>42776</v>
      </c>
      <c r="C75" s="218" t="s">
        <v>420</v>
      </c>
      <c r="D75" s="218" t="s">
        <v>462</v>
      </c>
      <c r="E75" s="218" t="s">
        <v>378</v>
      </c>
      <c r="F75" s="218" t="s">
        <v>5</v>
      </c>
      <c r="G75" s="218" t="s">
        <v>8</v>
      </c>
      <c r="H75" s="218"/>
      <c r="I75" s="126"/>
      <c r="J75" s="126"/>
      <c r="K75" s="126"/>
      <c r="L75" s="126"/>
      <c r="M75" s="126">
        <v>8</v>
      </c>
      <c r="N75" s="126"/>
      <c r="O75" s="126"/>
      <c r="P75" s="126"/>
      <c r="Q75" s="126"/>
      <c r="R75" s="126"/>
      <c r="S75" s="126"/>
      <c r="T75" s="126"/>
      <c r="U75" s="126"/>
      <c r="V75" s="126"/>
      <c r="W75" s="408"/>
      <c r="X75" s="408"/>
      <c r="Y75" s="126"/>
      <c r="Z75" s="126"/>
      <c r="AA75" s="128" t="e">
        <f>IF(NFI_Expiration=1,IF(#REF!&lt;VLOOKUP(J$5,NFI,5,0),1,0)*Table_NFI[[#This Row],[NFI Core Kit]],Table_NFI[NFI Core Kit])</f>
        <v>#REF!</v>
      </c>
      <c r="AB75" s="128" t="e">
        <f>IF(NFI_Expiration=1,IF(#REF!&lt;VLOOKUP(K$5,NFI,5,0),1,0)*Table_NFI[[#This Row],[Sanitary Kit]],Table_NFI[Sanitary Kit])</f>
        <v>#REF!</v>
      </c>
      <c r="AC75" s="128" t="e">
        <f>IF(NFI_Expiration=1,IF(#REF!&lt;VLOOKUP(L$5,NFI,5,0),1,0)*Table_NFI[[#This Row],[Mosquito net]],Table_NFI[Mosquito net])</f>
        <v>#REF!</v>
      </c>
      <c r="AD75" s="128" t="e">
        <f>IF(NFI_Expiration=1,IF(#REF!&lt;VLOOKUP(M$5,NFI,5,0),1,0)*Table_NFI[[#This Row],[Tarpaulin]],Table_NFI[[#This Row],[Tarpaulin]])</f>
        <v>#REF!</v>
      </c>
      <c r="AE75" s="128" t="e">
        <f>IF(NFI_Expiration=1,IF(#REF!&lt;VLOOKUP(N$5,NFI,5,0),1,0)*Table_NFI[[#This Row],[Blanket]],Table_NFI[[#This Row],[Blanket]])</f>
        <v>#REF!</v>
      </c>
      <c r="AF75" s="128" t="e">
        <f>IF(NFI_Expiration=1,IF(#REF!&lt;VLOOKUP(O$5,NFI,5,0),1,0)*Table_NFI[[#This Row],[Kitchen Set]],Table_NFI[Kitchen Set])</f>
        <v>#REF!</v>
      </c>
      <c r="AG75" s="128" t="e">
        <f>IF(NFI_Expiration=1,IF(#REF!&lt;VLOOKUP(P$5,NFI,5,0),1,0)*Table_NFI[[#This Row],[Clothes Kit]],Table_NFI[Clothes Kit])</f>
        <v>#REF!</v>
      </c>
      <c r="AH75" s="128" t="e">
        <f>IF(NFI_Expiration=1,IF(#REF!&lt;VLOOKUP(Q$5,NFI,5,0),1,0)*Table_NFI[[#This Row],[Plastic Bucket]],Table_NFI[Plastic Bucket])</f>
        <v>#REF!</v>
      </c>
      <c r="AI75" s="128" t="e">
        <f>IF(NFI_Expiration=1,IF(#REF!&lt;VLOOKUP(R$5,NFI,5,0),1,0)*Table_NFI[[#This Row],[Plastic Mat]],Table_NFI[Plastic Mat])*IF(Table_NFI[[#This Row],[Distribution Date]]&gt;"2014-04-01",1,2.5)</f>
        <v>#REF!</v>
      </c>
      <c r="AJ75" s="128" t="e">
        <f>IF(NFI_Expiration=1,IF(#REF!&lt;VLOOKUP(S$5,NFI,5,0),1,0)*Table_NFI[[#This Row],[Winter Clothes Adult]],Table_NFI[Winter Clothes Adult])</f>
        <v>#REF!</v>
      </c>
      <c r="AK75" s="128" t="e">
        <f>IF(NFI_Expiration=1,IF(#REF!&lt;VLOOKUP(T$5,NFI,5,0),1,0)*Table_NFI[[#This Row],[Winter Clothes Children]],Table_NFI[Winter Clothes Children])</f>
        <v>#REF!</v>
      </c>
      <c r="AL75" s="128" t="e">
        <f>IF(NFI_Expiration=1,IF(#REF!&lt;VLOOKUP(U$5,NFI,5,0),1,0)*Table_NFI[[#This Row],[Winter Items Other]],Table_NFI[Winter Items Other])</f>
        <v>#REF!</v>
      </c>
      <c r="AM75" s="128" t="e">
        <f>IF(NFI_Expiration=1,IF(#REF!&lt;VLOOKUP(N$5,NFI,5,0),1,0)*Table_NFI[[#This Row],[Winter Blanket]],Table_NFI[[#This Row],[Winter Blanket]])</f>
        <v>#REF!</v>
      </c>
      <c r="AN75" s="128">
        <f>IF(Table_NFI[[#This Row],[Winter Clothes Adult]]+Table_NFI[[#This Row],[Winter Clothes Children]]+Table_NFI[[#This Row],[Winter Items Other]]+Table_NFI[[#This Row],[Winter Blanket]]&gt;0,1,0)</f>
        <v>0</v>
      </c>
      <c r="AO75" s="146" t="e">
        <f>IF(NFI_Expiration=1,IF(#REF!&lt;VLOOKUP(W$5,NFI,5,0),1,0)*Table_NFI[[#This Row],[Jerry Can]],Table_NFI[Jerry Can])</f>
        <v>#REF!</v>
      </c>
      <c r="AP75" s="146" t="e">
        <f>IF(NFI_Expiration=1,IF(#REF!&lt;VLOOKUP(W$5,NFI,5,0),1,0)*Table_NFI[[#This Row],[Shelter Tool kit]],Table_NFI[Shelter Tool kit])</f>
        <v>#REF!</v>
      </c>
      <c r="AQ75" s="146" t="e">
        <f>IF(NFI_Expiration=1,IF(#REF!&lt;VLOOKUP(W$5,NFI,5,0),1,0)*Table_NFI[[#This Row],[Tent]],Table_NFI[Tent])</f>
        <v>#REF!</v>
      </c>
      <c r="AR75" s="220" t="str">
        <f>IFERROR(VLOOKUP(Table_NFI[[#This Row],[Location]],CL,2,0),"")</f>
        <v>MMR001CMP051</v>
      </c>
      <c r="AS75" s="221" t="s">
        <v>1271</v>
      </c>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row>
    <row r="76" spans="1:117" s="407" customFormat="1" ht="15" customHeight="1" x14ac:dyDescent="0.25">
      <c r="B76" s="748">
        <v>42775</v>
      </c>
      <c r="C76" s="218" t="s">
        <v>420</v>
      </c>
      <c r="D76" s="218" t="s">
        <v>424</v>
      </c>
      <c r="E76" s="218" t="s">
        <v>378</v>
      </c>
      <c r="F76" s="218" t="s">
        <v>309</v>
      </c>
      <c r="G76" s="218" t="s">
        <v>323</v>
      </c>
      <c r="H76" s="218"/>
      <c r="I76" s="126"/>
      <c r="J76" s="126">
        <v>17</v>
      </c>
      <c r="K76" s="126">
        <v>17</v>
      </c>
      <c r="L76" s="126">
        <v>114</v>
      </c>
      <c r="M76" s="126">
        <v>17</v>
      </c>
      <c r="N76" s="126">
        <v>174</v>
      </c>
      <c r="O76" s="126">
        <v>17</v>
      </c>
      <c r="P76" s="126"/>
      <c r="Q76" s="126">
        <v>17</v>
      </c>
      <c r="R76" s="126">
        <v>188</v>
      </c>
      <c r="S76" s="126"/>
      <c r="T76" s="126"/>
      <c r="U76" s="126"/>
      <c r="V76" s="126"/>
      <c r="W76" s="408">
        <v>17</v>
      </c>
      <c r="X76" s="408"/>
      <c r="Y76" s="126"/>
      <c r="Z76" s="126">
        <v>49</v>
      </c>
      <c r="AA76" s="128" t="e">
        <f>IF(NFI_Expiration=1,IF(#REF!&lt;VLOOKUP(J$5,NFI,5,0),1,0)*Table_NFI[[#This Row],[NFI Core Kit]],Table_NFI[NFI Core Kit])</f>
        <v>#REF!</v>
      </c>
      <c r="AB76" s="128" t="e">
        <f>IF(NFI_Expiration=1,IF(#REF!&lt;VLOOKUP(K$5,NFI,5,0),1,0)*Table_NFI[[#This Row],[Sanitary Kit]],Table_NFI[Sanitary Kit])</f>
        <v>#REF!</v>
      </c>
      <c r="AC76" s="128" t="e">
        <f>IF(NFI_Expiration=1,IF(#REF!&lt;VLOOKUP(L$5,NFI,5,0),1,0)*Table_NFI[[#This Row],[Mosquito net]],Table_NFI[Mosquito net])</f>
        <v>#REF!</v>
      </c>
      <c r="AD76" s="128" t="e">
        <f>IF(NFI_Expiration=1,IF(#REF!&lt;VLOOKUP(M$5,NFI,5,0),1,0)*Table_NFI[[#This Row],[Tarpaulin]],Table_NFI[[#This Row],[Tarpaulin]])</f>
        <v>#REF!</v>
      </c>
      <c r="AE76" s="128" t="e">
        <f>IF(NFI_Expiration=1,IF(#REF!&lt;VLOOKUP(N$5,NFI,5,0),1,0)*Table_NFI[[#This Row],[Blanket]],Table_NFI[[#This Row],[Blanket]])</f>
        <v>#REF!</v>
      </c>
      <c r="AF76" s="128" t="e">
        <f>IF(NFI_Expiration=1,IF(#REF!&lt;VLOOKUP(O$5,NFI,5,0),1,0)*Table_NFI[[#This Row],[Kitchen Set]],Table_NFI[Kitchen Set])</f>
        <v>#REF!</v>
      </c>
      <c r="AG76" s="128" t="e">
        <f>IF(NFI_Expiration=1,IF(#REF!&lt;VLOOKUP(P$5,NFI,5,0),1,0)*Table_NFI[[#This Row],[Clothes Kit]],Table_NFI[Clothes Kit])</f>
        <v>#REF!</v>
      </c>
      <c r="AH76" s="128" t="e">
        <f>IF(NFI_Expiration=1,IF(#REF!&lt;VLOOKUP(Q$5,NFI,5,0),1,0)*Table_NFI[[#This Row],[Plastic Bucket]],Table_NFI[Plastic Bucket])</f>
        <v>#REF!</v>
      </c>
      <c r="AI76" s="128" t="e">
        <f>IF(NFI_Expiration=1,IF(#REF!&lt;VLOOKUP(R$5,NFI,5,0),1,0)*Table_NFI[[#This Row],[Plastic Mat]],Table_NFI[Plastic Mat])*IF(Table_NFI[[#This Row],[Distribution Date]]&gt;"2014-04-01",1,2.5)</f>
        <v>#REF!</v>
      </c>
      <c r="AJ76" s="128" t="e">
        <f>IF(NFI_Expiration=1,IF(#REF!&lt;VLOOKUP(S$5,NFI,5,0),1,0)*Table_NFI[[#This Row],[Winter Clothes Adult]],Table_NFI[Winter Clothes Adult])</f>
        <v>#REF!</v>
      </c>
      <c r="AK76" s="128" t="e">
        <f>IF(NFI_Expiration=1,IF(#REF!&lt;VLOOKUP(T$5,NFI,5,0),1,0)*Table_NFI[[#This Row],[Winter Clothes Children]],Table_NFI[Winter Clothes Children])</f>
        <v>#REF!</v>
      </c>
      <c r="AL76" s="128" t="e">
        <f>IF(NFI_Expiration=1,IF(#REF!&lt;VLOOKUP(U$5,NFI,5,0),1,0)*Table_NFI[[#This Row],[Winter Items Other]],Table_NFI[Winter Items Other])</f>
        <v>#REF!</v>
      </c>
      <c r="AM76" s="128" t="e">
        <f>IF(NFI_Expiration=1,IF(#REF!&lt;VLOOKUP(N$5,NFI,5,0),1,0)*Table_NFI[[#This Row],[Winter Blanket]],Table_NFI[[#This Row],[Winter Blanket]])</f>
        <v>#REF!</v>
      </c>
      <c r="AN76" s="128">
        <f>IF(Table_NFI[[#This Row],[Winter Clothes Adult]]+Table_NFI[[#This Row],[Winter Clothes Children]]+Table_NFI[[#This Row],[Winter Items Other]]+Table_NFI[[#This Row],[Winter Blanket]]&gt;0,1,0)</f>
        <v>0</v>
      </c>
      <c r="AO76" s="146" t="e">
        <f>IF(NFI_Expiration=1,IF(#REF!&lt;VLOOKUP(W$5,NFI,5,0),1,0)*Table_NFI[[#This Row],[Jerry Can]],Table_NFI[Jerry Can])</f>
        <v>#REF!</v>
      </c>
      <c r="AP76" s="146" t="e">
        <f>IF(NFI_Expiration=1,IF(#REF!&lt;VLOOKUP(W$5,NFI,5,0),1,0)*Table_NFI[[#This Row],[Shelter Tool kit]],Table_NFI[Shelter Tool kit])</f>
        <v>#REF!</v>
      </c>
      <c r="AQ76" s="146" t="e">
        <f>IF(NFI_Expiration=1,IF(#REF!&lt;VLOOKUP(W$5,NFI,5,0),1,0)*Table_NFI[[#This Row],[Tent]],Table_NFI[Tent])</f>
        <v>#REF!</v>
      </c>
      <c r="AR76" s="220" t="str">
        <f>IFERROR(VLOOKUP(Table_NFI[[#This Row],[Location]],CL,2,0),"")</f>
        <v>MMR001CMP040</v>
      </c>
      <c r="AS76" s="221" t="s">
        <v>1271</v>
      </c>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row>
    <row r="77" spans="1:117" s="407" customFormat="1" ht="14.45" customHeight="1" x14ac:dyDescent="0.25">
      <c r="B77" s="748">
        <v>42768</v>
      </c>
      <c r="C77" s="218" t="s">
        <v>420</v>
      </c>
      <c r="D77" s="218" t="s">
        <v>1183</v>
      </c>
      <c r="E77" s="218" t="s">
        <v>378</v>
      </c>
      <c r="F77" s="218" t="s">
        <v>151</v>
      </c>
      <c r="G77" s="218" t="s">
        <v>851</v>
      </c>
      <c r="H77" s="218"/>
      <c r="I77" s="126"/>
      <c r="J77" s="126">
        <v>25</v>
      </c>
      <c r="K77" s="126">
        <v>25</v>
      </c>
      <c r="L77" s="126">
        <v>25</v>
      </c>
      <c r="M77" s="126">
        <v>25</v>
      </c>
      <c r="N77" s="126">
        <v>45</v>
      </c>
      <c r="O77" s="126">
        <v>25</v>
      </c>
      <c r="P77" s="126"/>
      <c r="Q77" s="126">
        <v>25</v>
      </c>
      <c r="R77" s="126">
        <v>83</v>
      </c>
      <c r="S77" s="126"/>
      <c r="T77" s="126"/>
      <c r="U77" s="126"/>
      <c r="V77" s="126"/>
      <c r="W77" s="408">
        <v>25</v>
      </c>
      <c r="X77" s="408"/>
      <c r="Y77" s="126"/>
      <c r="Z77" s="126"/>
      <c r="AA77" s="128" t="e">
        <f>IF(NFI_Expiration=1,IF(#REF!&lt;VLOOKUP(J$5,NFI,5,0),1,0)*Table_NFI[[#This Row],[NFI Core Kit]],Table_NFI[NFI Core Kit])</f>
        <v>#REF!</v>
      </c>
      <c r="AB77" s="128" t="e">
        <f>IF(NFI_Expiration=1,IF(#REF!&lt;VLOOKUP(K$5,NFI,5,0),1,0)*Table_NFI[[#This Row],[Sanitary Kit]],Table_NFI[Sanitary Kit])</f>
        <v>#REF!</v>
      </c>
      <c r="AC77" s="128" t="e">
        <f>IF(NFI_Expiration=1,IF(#REF!&lt;VLOOKUP(L$5,NFI,5,0),1,0)*Table_NFI[[#This Row],[Mosquito net]],Table_NFI[Mosquito net])</f>
        <v>#REF!</v>
      </c>
      <c r="AD77" s="128" t="e">
        <f>IF(NFI_Expiration=1,IF(#REF!&lt;VLOOKUP(M$5,NFI,5,0),1,0)*Table_NFI[[#This Row],[Tarpaulin]],Table_NFI[[#This Row],[Tarpaulin]])</f>
        <v>#REF!</v>
      </c>
      <c r="AE77" s="128" t="e">
        <f>IF(NFI_Expiration=1,IF(#REF!&lt;VLOOKUP(N$5,NFI,5,0),1,0)*Table_NFI[[#This Row],[Blanket]],Table_NFI[[#This Row],[Blanket]])</f>
        <v>#REF!</v>
      </c>
      <c r="AF77" s="128" t="e">
        <f>IF(NFI_Expiration=1,IF(#REF!&lt;VLOOKUP(O$5,NFI,5,0),1,0)*Table_NFI[[#This Row],[Kitchen Set]],Table_NFI[Kitchen Set])</f>
        <v>#REF!</v>
      </c>
      <c r="AG77" s="128" t="e">
        <f>IF(NFI_Expiration=1,IF(#REF!&lt;VLOOKUP(P$5,NFI,5,0),1,0)*Table_NFI[[#This Row],[Clothes Kit]],Table_NFI[Clothes Kit])</f>
        <v>#REF!</v>
      </c>
      <c r="AH77" s="128" t="e">
        <f>IF(NFI_Expiration=1,IF(#REF!&lt;VLOOKUP(Q$5,NFI,5,0),1,0)*Table_NFI[[#This Row],[Plastic Bucket]],Table_NFI[Plastic Bucket])</f>
        <v>#REF!</v>
      </c>
      <c r="AI77" s="128" t="e">
        <f>IF(NFI_Expiration=1,IF(#REF!&lt;VLOOKUP(R$5,NFI,5,0),1,0)*Table_NFI[[#This Row],[Plastic Mat]],Table_NFI[Plastic Mat])*IF(Table_NFI[[#This Row],[Distribution Date]]&gt;"2014-04-01",1,2.5)</f>
        <v>#REF!</v>
      </c>
      <c r="AJ77" s="128" t="e">
        <f>IF(NFI_Expiration=1,IF(#REF!&lt;VLOOKUP(S$5,NFI,5,0),1,0)*Table_NFI[[#This Row],[Winter Clothes Adult]],Table_NFI[Winter Clothes Adult])</f>
        <v>#REF!</v>
      </c>
      <c r="AK77" s="128" t="e">
        <f>IF(NFI_Expiration=1,IF(#REF!&lt;VLOOKUP(T$5,NFI,5,0),1,0)*Table_NFI[[#This Row],[Winter Clothes Children]],Table_NFI[Winter Clothes Children])</f>
        <v>#REF!</v>
      </c>
      <c r="AL77" s="128" t="e">
        <f>IF(NFI_Expiration=1,IF(#REF!&lt;VLOOKUP(U$5,NFI,5,0),1,0)*Table_NFI[[#This Row],[Winter Items Other]],Table_NFI[Winter Items Other])</f>
        <v>#REF!</v>
      </c>
      <c r="AM77" s="128" t="e">
        <f>IF(NFI_Expiration=1,IF(#REF!&lt;VLOOKUP(N$5,NFI,5,0),1,0)*Table_NFI[[#This Row],[Winter Blanket]],Table_NFI[[#This Row],[Winter Blanket]])</f>
        <v>#REF!</v>
      </c>
      <c r="AN77" s="128">
        <f>IF(Table_NFI[[#This Row],[Winter Clothes Adult]]+Table_NFI[[#This Row],[Winter Clothes Children]]+Table_NFI[[#This Row],[Winter Items Other]]+Table_NFI[[#This Row],[Winter Blanket]]&gt;0,1,0)</f>
        <v>0</v>
      </c>
      <c r="AO77" s="146" t="e">
        <f>IF(NFI_Expiration=1,IF(#REF!&lt;VLOOKUP(W$5,NFI,5,0),1,0)*Table_NFI[[#This Row],[Jerry Can]],Table_NFI[Jerry Can])</f>
        <v>#REF!</v>
      </c>
      <c r="AP77" s="146" t="e">
        <f>IF(NFI_Expiration=1,IF(#REF!&lt;VLOOKUP(W$5,NFI,5,0),1,0)*Table_NFI[[#This Row],[Shelter Tool kit]],Table_NFI[Shelter Tool kit])</f>
        <v>#REF!</v>
      </c>
      <c r="AQ77" s="146" t="e">
        <f>IF(NFI_Expiration=1,IF(#REF!&lt;VLOOKUP(W$5,NFI,5,0),1,0)*Table_NFI[[#This Row],[Tent]],Table_NFI[Tent])</f>
        <v>#REF!</v>
      </c>
      <c r="AR77" s="220" t="str">
        <f>IFERROR(VLOOKUP(Table_NFI[[#This Row],[Location]],CL,2,0),"")</f>
        <v>MMR001CMP223</v>
      </c>
      <c r="AS77" s="221" t="s">
        <v>1271</v>
      </c>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c r="CB77" s="222"/>
      <c r="CC77" s="222"/>
      <c r="CD77" s="222"/>
      <c r="CE77" s="222"/>
      <c r="CF77" s="222"/>
      <c r="CG77" s="222"/>
      <c r="CH77" s="222"/>
      <c r="CI77" s="222"/>
      <c r="CJ77" s="222"/>
      <c r="CK77" s="222"/>
      <c r="CL77" s="222"/>
      <c r="CM77" s="222"/>
      <c r="CN77" s="222"/>
      <c r="CO77" s="222"/>
      <c r="CP77" s="222"/>
      <c r="CQ77" s="222"/>
      <c r="CR77" s="222"/>
      <c r="CS77" s="222"/>
      <c r="CT77" s="222"/>
      <c r="CU77" s="222"/>
      <c r="CV77" s="222"/>
      <c r="CW77" s="222"/>
      <c r="CX77" s="222"/>
      <c r="CY77" s="222"/>
      <c r="CZ77" s="222"/>
      <c r="DA77" s="222"/>
      <c r="DB77" s="222"/>
      <c r="DC77" s="222"/>
      <c r="DD77" s="222"/>
      <c r="DE77" s="222"/>
      <c r="DF77" s="222"/>
      <c r="DG77" s="222"/>
      <c r="DH77" s="222"/>
      <c r="DI77" s="222"/>
      <c r="DJ77" s="222"/>
      <c r="DK77" s="222"/>
      <c r="DL77" s="222"/>
      <c r="DM77" s="222"/>
    </row>
    <row r="78" spans="1:117" s="407" customFormat="1" ht="14.45" customHeight="1" x14ac:dyDescent="0.25">
      <c r="B78" s="748">
        <v>42767</v>
      </c>
      <c r="C78" s="218" t="s">
        <v>420</v>
      </c>
      <c r="D78" s="218" t="s">
        <v>424</v>
      </c>
      <c r="E78" s="218" t="s">
        <v>378</v>
      </c>
      <c r="F78" s="218" t="s">
        <v>301</v>
      </c>
      <c r="G78" s="218" t="s">
        <v>305</v>
      </c>
      <c r="H78" s="218"/>
      <c r="I78" s="126"/>
      <c r="J78" s="126"/>
      <c r="K78" s="126">
        <v>50</v>
      </c>
      <c r="L78" s="126"/>
      <c r="M78" s="126"/>
      <c r="N78" s="126"/>
      <c r="O78" s="126"/>
      <c r="P78" s="126"/>
      <c r="Q78" s="126"/>
      <c r="R78" s="126"/>
      <c r="S78" s="126"/>
      <c r="T78" s="126"/>
      <c r="U78" s="126"/>
      <c r="V78" s="126"/>
      <c r="W78" s="408"/>
      <c r="X78" s="408"/>
      <c r="Y78" s="126"/>
      <c r="Z78" s="126"/>
      <c r="AA78" s="128" t="e">
        <f>IF(NFI_Expiration=1,IF(#REF!&lt;VLOOKUP(J$5,NFI,5,0),1,0)*Table_NFI[[#This Row],[NFI Core Kit]],Table_NFI[NFI Core Kit])</f>
        <v>#REF!</v>
      </c>
      <c r="AB78" s="128" t="e">
        <f>IF(NFI_Expiration=1,IF(#REF!&lt;VLOOKUP(K$5,NFI,5,0),1,0)*Table_NFI[[#This Row],[Sanitary Kit]],Table_NFI[Sanitary Kit])</f>
        <v>#REF!</v>
      </c>
      <c r="AC78" s="128" t="e">
        <f>IF(NFI_Expiration=1,IF(#REF!&lt;VLOOKUP(L$5,NFI,5,0),1,0)*Table_NFI[[#This Row],[Mosquito net]],Table_NFI[Mosquito net])</f>
        <v>#REF!</v>
      </c>
      <c r="AD78" s="128" t="e">
        <f>IF(NFI_Expiration=1,IF(#REF!&lt;VLOOKUP(M$5,NFI,5,0),1,0)*Table_NFI[[#This Row],[Tarpaulin]],Table_NFI[[#This Row],[Tarpaulin]])</f>
        <v>#REF!</v>
      </c>
      <c r="AE78" s="128" t="e">
        <f>IF(NFI_Expiration=1,IF(#REF!&lt;VLOOKUP(N$5,NFI,5,0),1,0)*Table_NFI[[#This Row],[Blanket]],Table_NFI[[#This Row],[Blanket]])</f>
        <v>#REF!</v>
      </c>
      <c r="AF78" s="128" t="e">
        <f>IF(NFI_Expiration=1,IF(#REF!&lt;VLOOKUP(O$5,NFI,5,0),1,0)*Table_NFI[[#This Row],[Kitchen Set]],Table_NFI[Kitchen Set])</f>
        <v>#REF!</v>
      </c>
      <c r="AG78" s="128" t="e">
        <f>IF(NFI_Expiration=1,IF(#REF!&lt;VLOOKUP(P$5,NFI,5,0),1,0)*Table_NFI[[#This Row],[Clothes Kit]],Table_NFI[Clothes Kit])</f>
        <v>#REF!</v>
      </c>
      <c r="AH78" s="128" t="e">
        <f>IF(NFI_Expiration=1,IF(#REF!&lt;VLOOKUP(Q$5,NFI,5,0),1,0)*Table_NFI[[#This Row],[Plastic Bucket]],Table_NFI[Plastic Bucket])</f>
        <v>#REF!</v>
      </c>
      <c r="AI78" s="128" t="e">
        <f>IF(NFI_Expiration=1,IF(#REF!&lt;VLOOKUP(R$5,NFI,5,0),1,0)*Table_NFI[[#This Row],[Plastic Mat]],Table_NFI[Plastic Mat])*IF(Table_NFI[[#This Row],[Distribution Date]]&gt;"2014-04-01",1,2.5)</f>
        <v>#REF!</v>
      </c>
      <c r="AJ78" s="128" t="e">
        <f>IF(NFI_Expiration=1,IF(#REF!&lt;VLOOKUP(S$5,NFI,5,0),1,0)*Table_NFI[[#This Row],[Winter Clothes Adult]],Table_NFI[Winter Clothes Adult])</f>
        <v>#REF!</v>
      </c>
      <c r="AK78" s="128" t="e">
        <f>IF(NFI_Expiration=1,IF(#REF!&lt;VLOOKUP(T$5,NFI,5,0),1,0)*Table_NFI[[#This Row],[Winter Clothes Children]],Table_NFI[Winter Clothes Children])</f>
        <v>#REF!</v>
      </c>
      <c r="AL78" s="128" t="e">
        <f>IF(NFI_Expiration=1,IF(#REF!&lt;VLOOKUP(U$5,NFI,5,0),1,0)*Table_NFI[[#This Row],[Winter Items Other]],Table_NFI[Winter Items Other])</f>
        <v>#REF!</v>
      </c>
      <c r="AM78" s="128" t="e">
        <f>IF(NFI_Expiration=1,IF(#REF!&lt;VLOOKUP(N$5,NFI,5,0),1,0)*Table_NFI[[#This Row],[Winter Blanket]],Table_NFI[[#This Row],[Winter Blanket]])</f>
        <v>#REF!</v>
      </c>
      <c r="AN78" s="128">
        <f>IF(Table_NFI[[#This Row],[Winter Clothes Adult]]+Table_NFI[[#This Row],[Winter Clothes Children]]+Table_NFI[[#This Row],[Winter Items Other]]+Table_NFI[[#This Row],[Winter Blanket]]&gt;0,1,0)</f>
        <v>0</v>
      </c>
      <c r="AO78" s="146" t="e">
        <f>IF(NFI_Expiration=1,IF(#REF!&lt;VLOOKUP(W$5,NFI,5,0),1,0)*Table_NFI[[#This Row],[Jerry Can]],Table_NFI[Jerry Can])</f>
        <v>#REF!</v>
      </c>
      <c r="AP78" s="146" t="e">
        <f>IF(NFI_Expiration=1,IF(#REF!&lt;VLOOKUP(W$5,NFI,5,0),1,0)*Table_NFI[[#This Row],[Shelter Tool kit]],Table_NFI[Shelter Tool kit])</f>
        <v>#REF!</v>
      </c>
      <c r="AQ78" s="146" t="e">
        <f>IF(NFI_Expiration=1,IF(#REF!&lt;VLOOKUP(W$5,NFI,5,0),1,0)*Table_NFI[[#This Row],[Tent]],Table_NFI[Tent])</f>
        <v>#REF!</v>
      </c>
      <c r="AR78" s="220" t="str">
        <f>IFERROR(VLOOKUP(Table_NFI[[#This Row],[Location]],CL,2,0),"")</f>
        <v>MMR001CMP067</v>
      </c>
      <c r="AS78" s="221" t="s">
        <v>1271</v>
      </c>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2"/>
      <c r="CA78" s="222"/>
      <c r="CB78" s="222"/>
      <c r="CC78" s="222"/>
      <c r="CD78" s="222"/>
      <c r="CE78" s="222"/>
      <c r="CF78" s="222"/>
      <c r="CG78" s="222"/>
      <c r="CH78" s="222"/>
      <c r="CI78" s="222"/>
      <c r="CJ78" s="222"/>
      <c r="CK78" s="222"/>
      <c r="CL78" s="222"/>
      <c r="CM78" s="222"/>
      <c r="CN78" s="222"/>
      <c r="CO78" s="222"/>
      <c r="CP78" s="222"/>
      <c r="CQ78" s="222"/>
      <c r="CR78" s="222"/>
      <c r="CS78" s="222"/>
      <c r="CT78" s="222"/>
      <c r="CU78" s="222"/>
      <c r="CV78" s="222"/>
      <c r="CW78" s="222"/>
      <c r="CX78" s="222"/>
      <c r="CY78" s="222"/>
      <c r="CZ78" s="222"/>
      <c r="DA78" s="222"/>
      <c r="DB78" s="222"/>
      <c r="DC78" s="222"/>
      <c r="DD78" s="222"/>
      <c r="DE78" s="222"/>
      <c r="DF78" s="222"/>
      <c r="DG78" s="222"/>
      <c r="DH78" s="222"/>
      <c r="DI78" s="222"/>
      <c r="DJ78" s="222"/>
      <c r="DK78" s="222"/>
      <c r="DL78" s="222"/>
      <c r="DM78" s="222"/>
    </row>
    <row r="79" spans="1:117" s="406" customFormat="1" ht="14.45" customHeight="1" x14ac:dyDescent="0.25">
      <c r="B79" s="748">
        <v>42766</v>
      </c>
      <c r="C79" s="218" t="s">
        <v>420</v>
      </c>
      <c r="D79" s="218" t="s">
        <v>1116</v>
      </c>
      <c r="E79" s="218" t="s">
        <v>378</v>
      </c>
      <c r="F79" s="218" t="s">
        <v>237</v>
      </c>
      <c r="G79" s="218" t="s">
        <v>272</v>
      </c>
      <c r="H79" s="218"/>
      <c r="I79" s="126"/>
      <c r="J79" s="126">
        <v>1</v>
      </c>
      <c r="K79" s="126">
        <v>1</v>
      </c>
      <c r="L79" s="126">
        <v>3</v>
      </c>
      <c r="M79" s="126">
        <v>1</v>
      </c>
      <c r="N79" s="126">
        <v>3</v>
      </c>
      <c r="O79" s="126">
        <v>1</v>
      </c>
      <c r="P79" s="126"/>
      <c r="Q79" s="126">
        <v>1</v>
      </c>
      <c r="R79" s="126">
        <v>3</v>
      </c>
      <c r="S79" s="126"/>
      <c r="T79" s="126"/>
      <c r="U79" s="126"/>
      <c r="V79" s="126"/>
      <c r="W79" s="408">
        <v>1</v>
      </c>
      <c r="X79" s="408"/>
      <c r="Y79" s="126"/>
      <c r="Z79" s="126"/>
      <c r="AA79" s="128" t="e">
        <f>IF(NFI_Expiration=1,IF(#REF!&lt;VLOOKUP(J$5,NFI,5,0),1,0)*Table_NFI[[#This Row],[NFI Core Kit]],Table_NFI[NFI Core Kit])</f>
        <v>#REF!</v>
      </c>
      <c r="AB79" s="128" t="e">
        <f>IF(NFI_Expiration=1,IF(#REF!&lt;VLOOKUP(K$5,NFI,5,0),1,0)*Table_NFI[[#This Row],[Sanitary Kit]],Table_NFI[Sanitary Kit])</f>
        <v>#REF!</v>
      </c>
      <c r="AC79" s="128" t="e">
        <f>IF(NFI_Expiration=1,IF(#REF!&lt;VLOOKUP(L$5,NFI,5,0),1,0)*Table_NFI[[#This Row],[Mosquito net]],Table_NFI[Mosquito net])</f>
        <v>#REF!</v>
      </c>
      <c r="AD79" s="128" t="e">
        <f>IF(NFI_Expiration=1,IF(#REF!&lt;VLOOKUP(M$5,NFI,5,0),1,0)*Table_NFI[[#This Row],[Tarpaulin]],Table_NFI[[#This Row],[Tarpaulin]])</f>
        <v>#REF!</v>
      </c>
      <c r="AE79" s="128" t="e">
        <f>IF(NFI_Expiration=1,IF(#REF!&lt;VLOOKUP(N$5,NFI,5,0),1,0)*Table_NFI[[#This Row],[Blanket]],Table_NFI[[#This Row],[Blanket]])</f>
        <v>#REF!</v>
      </c>
      <c r="AF79" s="128" t="e">
        <f>IF(NFI_Expiration=1,IF(#REF!&lt;VLOOKUP(O$5,NFI,5,0),1,0)*Table_NFI[[#This Row],[Kitchen Set]],Table_NFI[Kitchen Set])</f>
        <v>#REF!</v>
      </c>
      <c r="AG79" s="128" t="e">
        <f>IF(NFI_Expiration=1,IF(#REF!&lt;VLOOKUP(P$5,NFI,5,0),1,0)*Table_NFI[[#This Row],[Clothes Kit]],Table_NFI[Clothes Kit])</f>
        <v>#REF!</v>
      </c>
      <c r="AH79" s="128" t="e">
        <f>IF(NFI_Expiration=1,IF(#REF!&lt;VLOOKUP(Q$5,NFI,5,0),1,0)*Table_NFI[[#This Row],[Plastic Bucket]],Table_NFI[Plastic Bucket])</f>
        <v>#REF!</v>
      </c>
      <c r="AI79" s="128" t="e">
        <f>IF(NFI_Expiration=1,IF(#REF!&lt;VLOOKUP(R$5,NFI,5,0),1,0)*Table_NFI[[#This Row],[Plastic Mat]],Table_NFI[Plastic Mat])*IF(Table_NFI[[#This Row],[Distribution Date]]&gt;"2014-04-01",1,2.5)</f>
        <v>#REF!</v>
      </c>
      <c r="AJ79" s="128" t="e">
        <f>IF(NFI_Expiration=1,IF(#REF!&lt;VLOOKUP(S$5,NFI,5,0),1,0)*Table_NFI[[#This Row],[Winter Clothes Adult]],Table_NFI[Winter Clothes Adult])</f>
        <v>#REF!</v>
      </c>
      <c r="AK79" s="128" t="e">
        <f>IF(NFI_Expiration=1,IF(#REF!&lt;VLOOKUP(T$5,NFI,5,0),1,0)*Table_NFI[[#This Row],[Winter Clothes Children]],Table_NFI[Winter Clothes Children])</f>
        <v>#REF!</v>
      </c>
      <c r="AL79" s="128" t="e">
        <f>IF(NFI_Expiration=1,IF(#REF!&lt;VLOOKUP(U$5,NFI,5,0),1,0)*Table_NFI[[#This Row],[Winter Items Other]],Table_NFI[Winter Items Other])</f>
        <v>#REF!</v>
      </c>
      <c r="AM79" s="128" t="e">
        <f>IF(NFI_Expiration=1,IF(#REF!&lt;VLOOKUP(N$5,NFI,5,0),1,0)*Table_NFI[[#This Row],[Winter Blanket]],Table_NFI[[#This Row],[Winter Blanket]])</f>
        <v>#REF!</v>
      </c>
      <c r="AN79" s="128">
        <f>IF(Table_NFI[[#This Row],[Winter Clothes Adult]]+Table_NFI[[#This Row],[Winter Clothes Children]]+Table_NFI[[#This Row],[Winter Items Other]]+Table_NFI[[#This Row],[Winter Blanket]]&gt;0,1,0)</f>
        <v>0</v>
      </c>
      <c r="AO79" s="146" t="e">
        <f>IF(NFI_Expiration=1,IF(#REF!&lt;VLOOKUP(W$5,NFI,5,0),1,0)*Table_NFI[[#This Row],[Jerry Can]],Table_NFI[Jerry Can])</f>
        <v>#REF!</v>
      </c>
      <c r="AP79" s="146" t="e">
        <f>IF(NFI_Expiration=1,IF(#REF!&lt;VLOOKUP(W$5,NFI,5,0),1,0)*Table_NFI[[#This Row],[Shelter Tool kit]],Table_NFI[Shelter Tool kit])</f>
        <v>#REF!</v>
      </c>
      <c r="AQ79" s="146" t="e">
        <f>IF(NFI_Expiration=1,IF(#REF!&lt;VLOOKUP(W$5,NFI,5,0),1,0)*Table_NFI[[#This Row],[Tent]],Table_NFI[Tent])</f>
        <v>#REF!</v>
      </c>
      <c r="AR79" s="220" t="str">
        <f>IFERROR(VLOOKUP(Table_NFI[[#This Row],[Location]],CL,2,0),"")</f>
        <v>MMR001CMP162</v>
      </c>
      <c r="AS79" s="221" t="s">
        <v>1269</v>
      </c>
      <c r="AT79" s="224"/>
      <c r="AU79" s="224"/>
      <c r="AV79" s="224"/>
      <c r="AW79" s="224"/>
      <c r="AX79" s="224"/>
      <c r="AY79" s="224"/>
      <c r="AZ79" s="224"/>
      <c r="BA79" s="224"/>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row>
    <row r="80" spans="1:117" s="407" customFormat="1" ht="14.45" customHeight="1" x14ac:dyDescent="0.25">
      <c r="B80" s="748">
        <v>42766</v>
      </c>
      <c r="C80" s="218" t="s">
        <v>420</v>
      </c>
      <c r="D80" s="218" t="s">
        <v>1116</v>
      </c>
      <c r="E80" s="218" t="s">
        <v>378</v>
      </c>
      <c r="F80" s="218" t="s">
        <v>309</v>
      </c>
      <c r="G80" s="218" t="s">
        <v>329</v>
      </c>
      <c r="H80" s="218"/>
      <c r="I80" s="126"/>
      <c r="J80" s="126">
        <v>22</v>
      </c>
      <c r="K80" s="126">
        <v>22</v>
      </c>
      <c r="L80" s="126">
        <v>76</v>
      </c>
      <c r="M80" s="126">
        <v>22</v>
      </c>
      <c r="N80" s="126">
        <v>76</v>
      </c>
      <c r="O80" s="126">
        <v>22</v>
      </c>
      <c r="P80" s="126"/>
      <c r="Q80" s="126">
        <v>22</v>
      </c>
      <c r="R80" s="126">
        <v>76</v>
      </c>
      <c r="S80" s="126"/>
      <c r="T80" s="126"/>
      <c r="U80" s="126"/>
      <c r="V80" s="126"/>
      <c r="W80" s="408">
        <v>22</v>
      </c>
      <c r="X80" s="408"/>
      <c r="Y80" s="126"/>
      <c r="Z80" s="126"/>
      <c r="AA80" s="128" t="e">
        <f>IF(NFI_Expiration=1,IF(#REF!&lt;VLOOKUP(J$5,NFI,5,0),1,0)*Table_NFI[[#This Row],[NFI Core Kit]],Table_NFI[NFI Core Kit])</f>
        <v>#REF!</v>
      </c>
      <c r="AB80" s="128" t="e">
        <f>IF(NFI_Expiration=1,IF(#REF!&lt;VLOOKUP(K$5,NFI,5,0),1,0)*Table_NFI[[#This Row],[Sanitary Kit]],Table_NFI[Sanitary Kit])</f>
        <v>#REF!</v>
      </c>
      <c r="AC80" s="128" t="e">
        <f>IF(NFI_Expiration=1,IF(#REF!&lt;VLOOKUP(L$5,NFI,5,0),1,0)*Table_NFI[[#This Row],[Mosquito net]],Table_NFI[Mosquito net])</f>
        <v>#REF!</v>
      </c>
      <c r="AD80" s="128" t="e">
        <f>IF(NFI_Expiration=1,IF(#REF!&lt;VLOOKUP(M$5,NFI,5,0),1,0)*Table_NFI[[#This Row],[Tarpaulin]],Table_NFI[[#This Row],[Tarpaulin]])</f>
        <v>#REF!</v>
      </c>
      <c r="AE80" s="128" t="e">
        <f>IF(NFI_Expiration=1,IF(#REF!&lt;VLOOKUP(N$5,NFI,5,0),1,0)*Table_NFI[[#This Row],[Blanket]],Table_NFI[[#This Row],[Blanket]])</f>
        <v>#REF!</v>
      </c>
      <c r="AF80" s="128" t="e">
        <f>IF(NFI_Expiration=1,IF(#REF!&lt;VLOOKUP(O$5,NFI,5,0),1,0)*Table_NFI[[#This Row],[Kitchen Set]],Table_NFI[Kitchen Set])</f>
        <v>#REF!</v>
      </c>
      <c r="AG80" s="128" t="e">
        <f>IF(NFI_Expiration=1,IF(#REF!&lt;VLOOKUP(P$5,NFI,5,0),1,0)*Table_NFI[[#This Row],[Clothes Kit]],Table_NFI[Clothes Kit])</f>
        <v>#REF!</v>
      </c>
      <c r="AH80" s="128" t="e">
        <f>IF(NFI_Expiration=1,IF(#REF!&lt;VLOOKUP(Q$5,NFI,5,0),1,0)*Table_NFI[[#This Row],[Plastic Bucket]],Table_NFI[Plastic Bucket])</f>
        <v>#REF!</v>
      </c>
      <c r="AI80" s="128" t="e">
        <f>IF(NFI_Expiration=1,IF(#REF!&lt;VLOOKUP(R$5,NFI,5,0),1,0)*Table_NFI[[#This Row],[Plastic Mat]],Table_NFI[Plastic Mat])*IF(Table_NFI[[#This Row],[Distribution Date]]&gt;"2014-04-01",1,2.5)</f>
        <v>#REF!</v>
      </c>
      <c r="AJ80" s="128" t="e">
        <f>IF(NFI_Expiration=1,IF(#REF!&lt;VLOOKUP(S$5,NFI,5,0),1,0)*Table_NFI[[#This Row],[Winter Clothes Adult]],Table_NFI[Winter Clothes Adult])</f>
        <v>#REF!</v>
      </c>
      <c r="AK80" s="128" t="e">
        <f>IF(NFI_Expiration=1,IF(#REF!&lt;VLOOKUP(T$5,NFI,5,0),1,0)*Table_NFI[[#This Row],[Winter Clothes Children]],Table_NFI[Winter Clothes Children])</f>
        <v>#REF!</v>
      </c>
      <c r="AL80" s="128" t="e">
        <f>IF(NFI_Expiration=1,IF(#REF!&lt;VLOOKUP(U$5,NFI,5,0),1,0)*Table_NFI[[#This Row],[Winter Items Other]],Table_NFI[Winter Items Other])</f>
        <v>#REF!</v>
      </c>
      <c r="AM80" s="128" t="e">
        <f>IF(NFI_Expiration=1,IF(#REF!&lt;VLOOKUP(N$5,NFI,5,0),1,0)*Table_NFI[[#This Row],[Winter Blanket]],Table_NFI[[#This Row],[Winter Blanket]])</f>
        <v>#REF!</v>
      </c>
      <c r="AN80" s="128">
        <f>IF(Table_NFI[[#This Row],[Winter Clothes Adult]]+Table_NFI[[#This Row],[Winter Clothes Children]]+Table_NFI[[#This Row],[Winter Items Other]]+Table_NFI[[#This Row],[Winter Blanket]]&gt;0,1,0)</f>
        <v>0</v>
      </c>
      <c r="AO80" s="146" t="e">
        <f>IF(NFI_Expiration=1,IF(#REF!&lt;VLOOKUP(W$5,NFI,5,0),1,0)*Table_NFI[[#This Row],[Jerry Can]],Table_NFI[Jerry Can])</f>
        <v>#REF!</v>
      </c>
      <c r="AP80" s="146" t="e">
        <f>IF(NFI_Expiration=1,IF(#REF!&lt;VLOOKUP(W$5,NFI,5,0),1,0)*Table_NFI[[#This Row],[Shelter Tool kit]],Table_NFI[Shelter Tool kit])</f>
        <v>#REF!</v>
      </c>
      <c r="AQ80" s="146" t="e">
        <f>IF(NFI_Expiration=1,IF(#REF!&lt;VLOOKUP(W$5,NFI,5,0),1,0)*Table_NFI[[#This Row],[Tent]],Table_NFI[Tent])</f>
        <v>#REF!</v>
      </c>
      <c r="AR80" s="220" t="str">
        <f>IFERROR(VLOOKUP(Table_NFI[[#This Row],[Location]],CL,2,0),"")</f>
        <v>MMR001CMP029</v>
      </c>
      <c r="AS80" s="221" t="s">
        <v>1271</v>
      </c>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2"/>
      <c r="CB80" s="222"/>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row>
    <row r="81" spans="1:117" s="407" customFormat="1" ht="14.45" customHeight="1" x14ac:dyDescent="0.25">
      <c r="B81" s="748">
        <v>42763</v>
      </c>
      <c r="C81" s="218" t="s">
        <v>420</v>
      </c>
      <c r="D81" s="218" t="s">
        <v>1116</v>
      </c>
      <c r="E81" s="218" t="s">
        <v>378</v>
      </c>
      <c r="F81" s="218" t="s">
        <v>309</v>
      </c>
      <c r="G81" s="218" t="s">
        <v>329</v>
      </c>
      <c r="H81" s="218"/>
      <c r="I81" s="126"/>
      <c r="J81" s="126"/>
      <c r="K81" s="126"/>
      <c r="L81" s="126"/>
      <c r="M81" s="126"/>
      <c r="N81" s="126"/>
      <c r="O81" s="126"/>
      <c r="P81" s="126"/>
      <c r="Q81" s="126"/>
      <c r="R81" s="126"/>
      <c r="S81" s="126"/>
      <c r="T81" s="126"/>
      <c r="U81" s="126"/>
      <c r="V81" s="126"/>
      <c r="W81" s="408"/>
      <c r="X81" s="408"/>
      <c r="Y81" s="126"/>
      <c r="Z81" s="126">
        <v>10</v>
      </c>
      <c r="AA81" s="128" t="e">
        <f>IF(NFI_Expiration=1,IF(#REF!&lt;VLOOKUP(J$5,NFI,5,0),1,0)*Table_NFI[[#This Row],[NFI Core Kit]],Table_NFI[NFI Core Kit])</f>
        <v>#REF!</v>
      </c>
      <c r="AB81" s="128" t="e">
        <f>IF(NFI_Expiration=1,IF(#REF!&lt;VLOOKUP(K$5,NFI,5,0),1,0)*Table_NFI[[#This Row],[Sanitary Kit]],Table_NFI[Sanitary Kit])</f>
        <v>#REF!</v>
      </c>
      <c r="AC81" s="128" t="e">
        <f>IF(NFI_Expiration=1,IF(#REF!&lt;VLOOKUP(L$5,NFI,5,0),1,0)*Table_NFI[[#This Row],[Mosquito net]],Table_NFI[Mosquito net])</f>
        <v>#REF!</v>
      </c>
      <c r="AD81" s="128" t="e">
        <f>IF(NFI_Expiration=1,IF(#REF!&lt;VLOOKUP(M$5,NFI,5,0),1,0)*Table_NFI[[#This Row],[Tarpaulin]],Table_NFI[[#This Row],[Tarpaulin]])</f>
        <v>#REF!</v>
      </c>
      <c r="AE81" s="128" t="e">
        <f>IF(NFI_Expiration=1,IF(#REF!&lt;VLOOKUP(N$5,NFI,5,0),1,0)*Table_NFI[[#This Row],[Blanket]],Table_NFI[[#This Row],[Blanket]])</f>
        <v>#REF!</v>
      </c>
      <c r="AF81" s="128" t="e">
        <f>IF(NFI_Expiration=1,IF(#REF!&lt;VLOOKUP(O$5,NFI,5,0),1,0)*Table_NFI[[#This Row],[Kitchen Set]],Table_NFI[Kitchen Set])</f>
        <v>#REF!</v>
      </c>
      <c r="AG81" s="128" t="e">
        <f>IF(NFI_Expiration=1,IF(#REF!&lt;VLOOKUP(P$5,NFI,5,0),1,0)*Table_NFI[[#This Row],[Clothes Kit]],Table_NFI[Clothes Kit])</f>
        <v>#REF!</v>
      </c>
      <c r="AH81" s="128" t="e">
        <f>IF(NFI_Expiration=1,IF(#REF!&lt;VLOOKUP(Q$5,NFI,5,0),1,0)*Table_NFI[[#This Row],[Plastic Bucket]],Table_NFI[Plastic Bucket])</f>
        <v>#REF!</v>
      </c>
      <c r="AI81" s="128" t="e">
        <f>IF(NFI_Expiration=1,IF(#REF!&lt;VLOOKUP(R$5,NFI,5,0),1,0)*Table_NFI[[#This Row],[Plastic Mat]],Table_NFI[Plastic Mat])*IF(Table_NFI[[#This Row],[Distribution Date]]&gt;"2014-04-01",1,2.5)</f>
        <v>#REF!</v>
      </c>
      <c r="AJ81" s="128" t="e">
        <f>IF(NFI_Expiration=1,IF(#REF!&lt;VLOOKUP(S$5,NFI,5,0),1,0)*Table_NFI[[#This Row],[Winter Clothes Adult]],Table_NFI[Winter Clothes Adult])</f>
        <v>#REF!</v>
      </c>
      <c r="AK81" s="128" t="e">
        <f>IF(NFI_Expiration=1,IF(#REF!&lt;VLOOKUP(T$5,NFI,5,0),1,0)*Table_NFI[[#This Row],[Winter Clothes Children]],Table_NFI[Winter Clothes Children])</f>
        <v>#REF!</v>
      </c>
      <c r="AL81" s="128" t="e">
        <f>IF(NFI_Expiration=1,IF(#REF!&lt;VLOOKUP(U$5,NFI,5,0),1,0)*Table_NFI[[#This Row],[Winter Items Other]],Table_NFI[Winter Items Other])</f>
        <v>#REF!</v>
      </c>
      <c r="AM81" s="128" t="e">
        <f>IF(NFI_Expiration=1,IF(#REF!&lt;VLOOKUP(N$5,NFI,5,0),1,0)*Table_NFI[[#This Row],[Winter Blanket]],Table_NFI[[#This Row],[Winter Blanket]])</f>
        <v>#REF!</v>
      </c>
      <c r="AN81" s="128">
        <f>IF(Table_NFI[[#This Row],[Winter Clothes Adult]]+Table_NFI[[#This Row],[Winter Clothes Children]]+Table_NFI[[#This Row],[Winter Items Other]]+Table_NFI[[#This Row],[Winter Blanket]]&gt;0,1,0)</f>
        <v>0</v>
      </c>
      <c r="AO81" s="146" t="e">
        <f>IF(NFI_Expiration=1,IF(#REF!&lt;VLOOKUP(W$5,NFI,5,0),1,0)*Table_NFI[[#This Row],[Jerry Can]],Table_NFI[Jerry Can])</f>
        <v>#REF!</v>
      </c>
      <c r="AP81" s="146" t="e">
        <f>IF(NFI_Expiration=1,IF(#REF!&lt;VLOOKUP(W$5,NFI,5,0),1,0)*Table_NFI[[#This Row],[Shelter Tool kit]],Table_NFI[Shelter Tool kit])</f>
        <v>#REF!</v>
      </c>
      <c r="AQ81" s="146" t="e">
        <f>IF(NFI_Expiration=1,IF(#REF!&lt;VLOOKUP(W$5,NFI,5,0),1,0)*Table_NFI[[#This Row],[Tent]],Table_NFI[Tent])</f>
        <v>#REF!</v>
      </c>
      <c r="AR81" s="220" t="str">
        <f>IFERROR(VLOOKUP(Table_NFI[[#This Row],[Location]],CL,2,0),"")</f>
        <v>MMR001CMP029</v>
      </c>
      <c r="AS81" s="221" t="s">
        <v>1271</v>
      </c>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2"/>
      <c r="CB81" s="222"/>
      <c r="CC81" s="222"/>
      <c r="CD81" s="222"/>
      <c r="CE81" s="222"/>
      <c r="CF81" s="222"/>
      <c r="CG81" s="222"/>
      <c r="CH81" s="222"/>
      <c r="CI81" s="222"/>
      <c r="CJ81" s="222"/>
      <c r="CK81" s="222"/>
      <c r="CL81" s="222"/>
      <c r="CM81" s="222"/>
      <c r="CN81" s="222"/>
      <c r="CO81" s="222"/>
      <c r="CP81" s="222"/>
      <c r="CQ81" s="222"/>
      <c r="CR81" s="222"/>
      <c r="CS81" s="222"/>
      <c r="CT81" s="222"/>
      <c r="CU81" s="222"/>
      <c r="CV81" s="222"/>
      <c r="CW81" s="222"/>
      <c r="CX81" s="222"/>
      <c r="CY81" s="222"/>
      <c r="CZ81" s="222"/>
      <c r="DA81" s="222"/>
      <c r="DB81" s="222"/>
      <c r="DC81" s="222"/>
      <c r="DD81" s="222"/>
      <c r="DE81" s="222"/>
      <c r="DF81" s="222"/>
      <c r="DG81" s="222"/>
      <c r="DH81" s="222"/>
      <c r="DI81" s="222"/>
      <c r="DJ81" s="222"/>
      <c r="DK81" s="222"/>
      <c r="DL81" s="222"/>
      <c r="DM81" s="222"/>
    </row>
    <row r="82" spans="1:117" s="407" customFormat="1" ht="15" customHeight="1" x14ac:dyDescent="0.25">
      <c r="B82" s="748">
        <v>42761</v>
      </c>
      <c r="C82" s="218" t="s">
        <v>420</v>
      </c>
      <c r="D82" s="218" t="s">
        <v>424</v>
      </c>
      <c r="E82" s="218" t="s">
        <v>378</v>
      </c>
      <c r="F82" s="218" t="s">
        <v>309</v>
      </c>
      <c r="G82" s="218" t="s">
        <v>323</v>
      </c>
      <c r="H82" s="218"/>
      <c r="I82" s="126"/>
      <c r="J82" s="126">
        <v>6</v>
      </c>
      <c r="K82" s="126">
        <v>6</v>
      </c>
      <c r="L82" s="126">
        <v>18</v>
      </c>
      <c r="M82" s="126">
        <v>6</v>
      </c>
      <c r="N82" s="126">
        <v>24</v>
      </c>
      <c r="O82" s="126">
        <v>6</v>
      </c>
      <c r="P82" s="126"/>
      <c r="Q82" s="126">
        <v>6</v>
      </c>
      <c r="R82" s="126">
        <v>24</v>
      </c>
      <c r="S82" s="126"/>
      <c r="T82" s="126"/>
      <c r="U82" s="126"/>
      <c r="V82" s="126"/>
      <c r="W82" s="408">
        <v>6</v>
      </c>
      <c r="X82" s="408"/>
      <c r="Y82" s="126"/>
      <c r="Z82" s="126">
        <v>6</v>
      </c>
      <c r="AA82" s="128" t="e">
        <f>IF(NFI_Expiration=1,IF(#REF!&lt;VLOOKUP(J$5,NFI,5,0),1,0)*Table_NFI[[#This Row],[NFI Core Kit]],Table_NFI[NFI Core Kit])</f>
        <v>#REF!</v>
      </c>
      <c r="AB82" s="128" t="e">
        <f>IF(NFI_Expiration=1,IF(#REF!&lt;VLOOKUP(K$5,NFI,5,0),1,0)*Table_NFI[[#This Row],[Sanitary Kit]],Table_NFI[Sanitary Kit])</f>
        <v>#REF!</v>
      </c>
      <c r="AC82" s="128" t="e">
        <f>IF(NFI_Expiration=1,IF(#REF!&lt;VLOOKUP(L$5,NFI,5,0),1,0)*Table_NFI[[#This Row],[Mosquito net]],Table_NFI[Mosquito net])</f>
        <v>#REF!</v>
      </c>
      <c r="AD82" s="128" t="e">
        <f>IF(NFI_Expiration=1,IF(#REF!&lt;VLOOKUP(M$5,NFI,5,0),1,0)*Table_NFI[[#This Row],[Tarpaulin]],Table_NFI[[#This Row],[Tarpaulin]])</f>
        <v>#REF!</v>
      </c>
      <c r="AE82" s="128" t="e">
        <f>IF(NFI_Expiration=1,IF(#REF!&lt;VLOOKUP(N$5,NFI,5,0),1,0)*Table_NFI[[#This Row],[Blanket]],Table_NFI[[#This Row],[Blanket]])</f>
        <v>#REF!</v>
      </c>
      <c r="AF82" s="128" t="e">
        <f>IF(NFI_Expiration=1,IF(#REF!&lt;VLOOKUP(O$5,NFI,5,0),1,0)*Table_NFI[[#This Row],[Kitchen Set]],Table_NFI[Kitchen Set])</f>
        <v>#REF!</v>
      </c>
      <c r="AG82" s="128" t="e">
        <f>IF(NFI_Expiration=1,IF(#REF!&lt;VLOOKUP(P$5,NFI,5,0),1,0)*Table_NFI[[#This Row],[Clothes Kit]],Table_NFI[Clothes Kit])</f>
        <v>#REF!</v>
      </c>
      <c r="AH82" s="128" t="e">
        <f>IF(NFI_Expiration=1,IF(#REF!&lt;VLOOKUP(Q$5,NFI,5,0),1,0)*Table_NFI[[#This Row],[Plastic Bucket]],Table_NFI[Plastic Bucket])</f>
        <v>#REF!</v>
      </c>
      <c r="AI82" s="128" t="e">
        <f>IF(NFI_Expiration=1,IF(#REF!&lt;VLOOKUP(R$5,NFI,5,0),1,0)*Table_NFI[[#This Row],[Plastic Mat]],Table_NFI[Plastic Mat])*IF(Table_NFI[[#This Row],[Distribution Date]]&gt;"2014-04-01",1,2.5)</f>
        <v>#REF!</v>
      </c>
      <c r="AJ82" s="128" t="e">
        <f>IF(NFI_Expiration=1,IF(#REF!&lt;VLOOKUP(S$5,NFI,5,0),1,0)*Table_NFI[[#This Row],[Winter Clothes Adult]],Table_NFI[Winter Clothes Adult])</f>
        <v>#REF!</v>
      </c>
      <c r="AK82" s="128" t="e">
        <f>IF(NFI_Expiration=1,IF(#REF!&lt;VLOOKUP(T$5,NFI,5,0),1,0)*Table_NFI[[#This Row],[Winter Clothes Children]],Table_NFI[Winter Clothes Children])</f>
        <v>#REF!</v>
      </c>
      <c r="AL82" s="128" t="e">
        <f>IF(NFI_Expiration=1,IF(#REF!&lt;VLOOKUP(U$5,NFI,5,0),1,0)*Table_NFI[[#This Row],[Winter Items Other]],Table_NFI[Winter Items Other])</f>
        <v>#REF!</v>
      </c>
      <c r="AM82" s="128" t="e">
        <f>IF(NFI_Expiration=1,IF(#REF!&lt;VLOOKUP(N$5,NFI,5,0),1,0)*Table_NFI[[#This Row],[Winter Blanket]],Table_NFI[[#This Row],[Winter Blanket]])</f>
        <v>#REF!</v>
      </c>
      <c r="AN82" s="128">
        <f>IF(Table_NFI[[#This Row],[Winter Clothes Adult]]+Table_NFI[[#This Row],[Winter Clothes Children]]+Table_NFI[[#This Row],[Winter Items Other]]+Table_NFI[[#This Row],[Winter Blanket]]&gt;0,1,0)</f>
        <v>0</v>
      </c>
      <c r="AO82" s="146" t="e">
        <f>IF(NFI_Expiration=1,IF(#REF!&lt;VLOOKUP(W$5,NFI,5,0),1,0)*Table_NFI[[#This Row],[Jerry Can]],Table_NFI[Jerry Can])</f>
        <v>#REF!</v>
      </c>
      <c r="AP82" s="146" t="e">
        <f>IF(NFI_Expiration=1,IF(#REF!&lt;VLOOKUP(W$5,NFI,5,0),1,0)*Table_NFI[[#This Row],[Shelter Tool kit]],Table_NFI[Shelter Tool kit])</f>
        <v>#REF!</v>
      </c>
      <c r="AQ82" s="146" t="e">
        <f>IF(NFI_Expiration=1,IF(#REF!&lt;VLOOKUP(W$5,NFI,5,0),1,0)*Table_NFI[[#This Row],[Tent]],Table_NFI[Tent])</f>
        <v>#REF!</v>
      </c>
      <c r="AR82" s="220" t="str">
        <f>IFERROR(VLOOKUP(Table_NFI[[#This Row],[Location]],CL,2,0),"")</f>
        <v>MMR001CMP040</v>
      </c>
      <c r="AS82" s="221" t="s">
        <v>1271</v>
      </c>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2"/>
      <c r="CH82" s="222"/>
      <c r="CI82" s="222"/>
      <c r="CJ82" s="222"/>
      <c r="CK82" s="222"/>
      <c r="CL82" s="222"/>
      <c r="CM82" s="222"/>
      <c r="CN82" s="222"/>
      <c r="CO82" s="222"/>
      <c r="CP82" s="222"/>
      <c r="CQ82" s="222"/>
      <c r="CR82" s="222"/>
      <c r="CS82" s="222"/>
      <c r="CT82" s="222"/>
      <c r="CU82" s="222"/>
      <c r="CV82" s="222"/>
      <c r="CW82" s="222"/>
      <c r="CX82" s="222"/>
      <c r="CY82" s="222"/>
      <c r="CZ82" s="222"/>
      <c r="DA82" s="222"/>
      <c r="DB82" s="222"/>
      <c r="DC82" s="222"/>
      <c r="DD82" s="222"/>
      <c r="DE82" s="222"/>
      <c r="DF82" s="222"/>
      <c r="DG82" s="222"/>
      <c r="DH82" s="222"/>
      <c r="DI82" s="222"/>
      <c r="DJ82" s="222"/>
      <c r="DK82" s="222"/>
      <c r="DL82" s="222"/>
      <c r="DM82" s="222"/>
    </row>
    <row r="83" spans="1:117" s="407" customFormat="1" ht="14.45" customHeight="1" x14ac:dyDescent="0.25">
      <c r="B83" s="748">
        <v>42758</v>
      </c>
      <c r="C83" s="214" t="s">
        <v>1567</v>
      </c>
      <c r="D83" s="214" t="s">
        <v>1567</v>
      </c>
      <c r="E83" s="218" t="s">
        <v>378</v>
      </c>
      <c r="F83" s="218" t="s">
        <v>309</v>
      </c>
      <c r="G83" s="218" t="s">
        <v>196</v>
      </c>
      <c r="H83" s="218"/>
      <c r="I83" s="126">
        <v>38</v>
      </c>
      <c r="J83" s="126">
        <v>38</v>
      </c>
      <c r="K83" s="126">
        <v>342</v>
      </c>
      <c r="L83" s="126">
        <v>76</v>
      </c>
      <c r="M83" s="126"/>
      <c r="N83" s="126">
        <v>76</v>
      </c>
      <c r="O83" s="126"/>
      <c r="P83" s="126"/>
      <c r="Q83" s="126">
        <v>38</v>
      </c>
      <c r="R83" s="126">
        <v>76</v>
      </c>
      <c r="S83" s="126"/>
      <c r="T83" s="126"/>
      <c r="U83" s="126"/>
      <c r="V83" s="126"/>
      <c r="W83" s="408">
        <v>38</v>
      </c>
      <c r="X83" s="408"/>
      <c r="Y83" s="126"/>
      <c r="Z83" s="126"/>
      <c r="AA83" s="128" t="e">
        <f>IF(NFI_Expiration=1,IF(#REF!&lt;VLOOKUP(J$5,NFI,5,0),1,0)*Table_NFI[[#This Row],[NFI Core Kit]],Table_NFI[NFI Core Kit])</f>
        <v>#REF!</v>
      </c>
      <c r="AB83" s="128" t="e">
        <f>IF(NFI_Expiration=1,IF(#REF!&lt;VLOOKUP(K$5,NFI,5,0),1,0)*Table_NFI[[#This Row],[Sanitary Kit]],Table_NFI[Sanitary Kit])</f>
        <v>#REF!</v>
      </c>
      <c r="AC83" s="128" t="e">
        <f>IF(NFI_Expiration=1,IF(#REF!&lt;VLOOKUP(L$5,NFI,5,0),1,0)*Table_NFI[[#This Row],[Mosquito net]],Table_NFI[Mosquito net])</f>
        <v>#REF!</v>
      </c>
      <c r="AD83" s="128" t="e">
        <f>IF(NFI_Expiration=1,IF(#REF!&lt;VLOOKUP(M$5,NFI,5,0),1,0)*Table_NFI[[#This Row],[Tarpaulin]],Table_NFI[[#This Row],[Tarpaulin]])</f>
        <v>#REF!</v>
      </c>
      <c r="AE83" s="128" t="e">
        <f>IF(NFI_Expiration=1,IF(#REF!&lt;VLOOKUP(N$5,NFI,5,0),1,0)*Table_NFI[[#This Row],[Blanket]],Table_NFI[[#This Row],[Blanket]])</f>
        <v>#REF!</v>
      </c>
      <c r="AF83" s="128" t="e">
        <f>IF(NFI_Expiration=1,IF(#REF!&lt;VLOOKUP(O$5,NFI,5,0),1,0)*Table_NFI[[#This Row],[Kitchen Set]],Table_NFI[Kitchen Set])</f>
        <v>#REF!</v>
      </c>
      <c r="AG83" s="128" t="e">
        <f>IF(NFI_Expiration=1,IF(#REF!&lt;VLOOKUP(P$5,NFI,5,0),1,0)*Table_NFI[[#This Row],[Clothes Kit]],Table_NFI[Clothes Kit])</f>
        <v>#REF!</v>
      </c>
      <c r="AH83" s="128" t="e">
        <f>IF(NFI_Expiration=1,IF(#REF!&lt;VLOOKUP(Q$5,NFI,5,0),1,0)*Table_NFI[[#This Row],[Plastic Bucket]],Table_NFI[Plastic Bucket])</f>
        <v>#REF!</v>
      </c>
      <c r="AI83" s="128" t="e">
        <f>IF(NFI_Expiration=1,IF(#REF!&lt;VLOOKUP(R$5,NFI,5,0),1,0)*Table_NFI[[#This Row],[Plastic Mat]],Table_NFI[Plastic Mat])*IF(Table_NFI[[#This Row],[Distribution Date]]&gt;"2014-04-01",1,2.5)</f>
        <v>#REF!</v>
      </c>
      <c r="AJ83" s="128" t="e">
        <f>IF(NFI_Expiration=1,IF(#REF!&lt;VLOOKUP(S$5,NFI,5,0),1,0)*Table_NFI[[#This Row],[Winter Clothes Adult]],Table_NFI[Winter Clothes Adult])</f>
        <v>#REF!</v>
      </c>
      <c r="AK83" s="128" t="e">
        <f>IF(NFI_Expiration=1,IF(#REF!&lt;VLOOKUP(T$5,NFI,5,0),1,0)*Table_NFI[[#This Row],[Winter Clothes Children]],Table_NFI[Winter Clothes Children])</f>
        <v>#REF!</v>
      </c>
      <c r="AL83" s="128" t="e">
        <f>IF(NFI_Expiration=1,IF(#REF!&lt;VLOOKUP(U$5,NFI,5,0),1,0)*Table_NFI[[#This Row],[Winter Items Other]],Table_NFI[Winter Items Other])</f>
        <v>#REF!</v>
      </c>
      <c r="AM83" s="128" t="e">
        <f>IF(NFI_Expiration=1,IF(#REF!&lt;VLOOKUP(N$5,NFI,5,0),1,0)*Table_NFI[[#This Row],[Winter Blanket]],Table_NFI[[#This Row],[Winter Blanket]])</f>
        <v>#REF!</v>
      </c>
      <c r="AN83" s="128">
        <f>IF(Table_NFI[[#This Row],[Winter Clothes Adult]]+Table_NFI[[#This Row],[Winter Clothes Children]]+Table_NFI[[#This Row],[Winter Items Other]]+Table_NFI[[#This Row],[Winter Blanket]]&gt;0,1,0)</f>
        <v>0</v>
      </c>
      <c r="AO83" s="146" t="e">
        <f>IF(NFI_Expiration=1,IF(#REF!&lt;VLOOKUP(W$5,NFI,5,0),1,0)*Table_NFI[[#This Row],[Jerry Can]],Table_NFI[Jerry Can])</f>
        <v>#REF!</v>
      </c>
      <c r="AP83" s="146" t="e">
        <f>IF(NFI_Expiration=1,IF(#REF!&lt;VLOOKUP(W$5,NFI,5,0),1,0)*Table_NFI[[#This Row],[Shelter Tool kit]],Table_NFI[Shelter Tool kit])</f>
        <v>#REF!</v>
      </c>
      <c r="AQ83" s="146" t="e">
        <f>IF(NFI_Expiration=1,IF(#REF!&lt;VLOOKUP(W$5,NFI,5,0),1,0)*Table_NFI[[#This Row],[Tent]],Table_NFI[Tent])</f>
        <v>#REF!</v>
      </c>
      <c r="AR83" s="220" t="str">
        <f>IFERROR(VLOOKUP(Table_NFI[[#This Row],[Location]],CL,2,0),"")</f>
        <v>MMR001CMP121</v>
      </c>
      <c r="AS83" s="216" t="s">
        <v>1293</v>
      </c>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2"/>
      <c r="CB83" s="222"/>
      <c r="CC83" s="222"/>
      <c r="CD83" s="222"/>
      <c r="CE83" s="222"/>
      <c r="CF83" s="222"/>
      <c r="CG83" s="222"/>
      <c r="CH83" s="222"/>
      <c r="CI83" s="222"/>
      <c r="CJ83" s="222"/>
      <c r="CK83" s="222"/>
      <c r="CL83" s="222"/>
      <c r="CM83" s="222"/>
      <c r="CN83" s="222"/>
      <c r="CO83" s="222"/>
      <c r="CP83" s="222"/>
      <c r="CQ83" s="222"/>
      <c r="CR83" s="222"/>
      <c r="CS83" s="222"/>
      <c r="CT83" s="222"/>
      <c r="CU83" s="222"/>
      <c r="CV83" s="222"/>
      <c r="CW83" s="222"/>
      <c r="CX83" s="222"/>
      <c r="CY83" s="222"/>
      <c r="CZ83" s="222"/>
      <c r="DA83" s="222"/>
      <c r="DB83" s="222"/>
      <c r="DC83" s="222"/>
      <c r="DD83" s="222"/>
      <c r="DE83" s="222"/>
      <c r="DF83" s="222"/>
      <c r="DG83" s="222"/>
      <c r="DH83" s="222"/>
      <c r="DI83" s="222"/>
      <c r="DJ83" s="222"/>
      <c r="DK83" s="222"/>
      <c r="DL83" s="222"/>
      <c r="DM83" s="222"/>
    </row>
    <row r="84" spans="1:117" s="407" customFormat="1" ht="14.45" customHeight="1" x14ac:dyDescent="0.25">
      <c r="B84" s="748">
        <v>42758</v>
      </c>
      <c r="C84" s="218" t="s">
        <v>420</v>
      </c>
      <c r="D84" s="218" t="s">
        <v>1183</v>
      </c>
      <c r="E84" s="218" t="s">
        <v>378</v>
      </c>
      <c r="F84" s="218" t="s">
        <v>151</v>
      </c>
      <c r="G84" s="218" t="s">
        <v>803</v>
      </c>
      <c r="H84" s="218"/>
      <c r="I84" s="126"/>
      <c r="J84" s="126">
        <v>24</v>
      </c>
      <c r="K84" s="126">
        <v>25</v>
      </c>
      <c r="L84" s="126">
        <v>45</v>
      </c>
      <c r="M84" s="126">
        <v>25</v>
      </c>
      <c r="N84" s="126">
        <v>45</v>
      </c>
      <c r="O84" s="126">
        <v>25</v>
      </c>
      <c r="P84" s="126"/>
      <c r="Q84" s="126">
        <v>25</v>
      </c>
      <c r="R84" s="126">
        <v>83</v>
      </c>
      <c r="S84" s="126"/>
      <c r="T84" s="126"/>
      <c r="U84" s="126"/>
      <c r="V84" s="126"/>
      <c r="W84" s="408">
        <v>25</v>
      </c>
      <c r="X84" s="408"/>
      <c r="Y84" s="126"/>
      <c r="Z84" s="126"/>
      <c r="AA84" s="128" t="e">
        <f>IF(NFI_Expiration=1,IF(#REF!&lt;VLOOKUP(J$5,NFI,5,0),1,0)*Table_NFI[[#This Row],[NFI Core Kit]],Table_NFI[NFI Core Kit])</f>
        <v>#REF!</v>
      </c>
      <c r="AB84" s="128" t="e">
        <f>IF(NFI_Expiration=1,IF(#REF!&lt;VLOOKUP(K$5,NFI,5,0),1,0)*Table_NFI[[#This Row],[Sanitary Kit]],Table_NFI[Sanitary Kit])</f>
        <v>#REF!</v>
      </c>
      <c r="AC84" s="128" t="e">
        <f>IF(NFI_Expiration=1,IF(#REF!&lt;VLOOKUP(L$5,NFI,5,0),1,0)*Table_NFI[[#This Row],[Mosquito net]],Table_NFI[Mosquito net])</f>
        <v>#REF!</v>
      </c>
      <c r="AD84" s="128" t="e">
        <f>IF(NFI_Expiration=1,IF(#REF!&lt;VLOOKUP(M$5,NFI,5,0),1,0)*Table_NFI[[#This Row],[Tarpaulin]],Table_NFI[[#This Row],[Tarpaulin]])</f>
        <v>#REF!</v>
      </c>
      <c r="AE84" s="128" t="e">
        <f>IF(NFI_Expiration=1,IF(#REF!&lt;VLOOKUP(N$5,NFI,5,0),1,0)*Table_NFI[[#This Row],[Blanket]],Table_NFI[[#This Row],[Blanket]])</f>
        <v>#REF!</v>
      </c>
      <c r="AF84" s="128" t="e">
        <f>IF(NFI_Expiration=1,IF(#REF!&lt;VLOOKUP(O$5,NFI,5,0),1,0)*Table_NFI[[#This Row],[Kitchen Set]],Table_NFI[Kitchen Set])</f>
        <v>#REF!</v>
      </c>
      <c r="AG84" s="128" t="e">
        <f>IF(NFI_Expiration=1,IF(#REF!&lt;VLOOKUP(P$5,NFI,5,0),1,0)*Table_NFI[[#This Row],[Clothes Kit]],Table_NFI[Clothes Kit])</f>
        <v>#REF!</v>
      </c>
      <c r="AH84" s="128" t="e">
        <f>IF(NFI_Expiration=1,IF(#REF!&lt;VLOOKUP(Q$5,NFI,5,0),1,0)*Table_NFI[[#This Row],[Plastic Bucket]],Table_NFI[Plastic Bucket])</f>
        <v>#REF!</v>
      </c>
      <c r="AI84" s="128" t="e">
        <f>IF(NFI_Expiration=1,IF(#REF!&lt;VLOOKUP(R$5,NFI,5,0),1,0)*Table_NFI[[#This Row],[Plastic Mat]],Table_NFI[Plastic Mat])*IF(Table_NFI[[#This Row],[Distribution Date]]&gt;"2014-04-01",1,2.5)</f>
        <v>#REF!</v>
      </c>
      <c r="AJ84" s="128" t="e">
        <f>IF(NFI_Expiration=1,IF(#REF!&lt;VLOOKUP(S$5,NFI,5,0),1,0)*Table_NFI[[#This Row],[Winter Clothes Adult]],Table_NFI[Winter Clothes Adult])</f>
        <v>#REF!</v>
      </c>
      <c r="AK84" s="128" t="e">
        <f>IF(NFI_Expiration=1,IF(#REF!&lt;VLOOKUP(T$5,NFI,5,0),1,0)*Table_NFI[[#This Row],[Winter Clothes Children]],Table_NFI[Winter Clothes Children])</f>
        <v>#REF!</v>
      </c>
      <c r="AL84" s="128" t="e">
        <f>IF(NFI_Expiration=1,IF(#REF!&lt;VLOOKUP(U$5,NFI,5,0),1,0)*Table_NFI[[#This Row],[Winter Items Other]],Table_NFI[Winter Items Other])</f>
        <v>#REF!</v>
      </c>
      <c r="AM84" s="128" t="e">
        <f>IF(NFI_Expiration=1,IF(#REF!&lt;VLOOKUP(N$5,NFI,5,0),1,0)*Table_NFI[[#This Row],[Winter Blanket]],Table_NFI[[#This Row],[Winter Blanket]])</f>
        <v>#REF!</v>
      </c>
      <c r="AN84" s="128">
        <f>IF(Table_NFI[[#This Row],[Winter Clothes Adult]]+Table_NFI[[#This Row],[Winter Clothes Children]]+Table_NFI[[#This Row],[Winter Items Other]]+Table_NFI[[#This Row],[Winter Blanket]]&gt;0,1,0)</f>
        <v>0</v>
      </c>
      <c r="AO84" s="146" t="e">
        <f>IF(NFI_Expiration=1,IF(#REF!&lt;VLOOKUP(W$5,NFI,5,0),1,0)*Table_NFI[[#This Row],[Jerry Can]],Table_NFI[Jerry Can])</f>
        <v>#REF!</v>
      </c>
      <c r="AP84" s="146" t="e">
        <f>IF(NFI_Expiration=1,IF(#REF!&lt;VLOOKUP(W$5,NFI,5,0),1,0)*Table_NFI[[#This Row],[Shelter Tool kit]],Table_NFI[Shelter Tool kit])</f>
        <v>#REF!</v>
      </c>
      <c r="AQ84" s="146" t="e">
        <f>IF(NFI_Expiration=1,IF(#REF!&lt;VLOOKUP(W$5,NFI,5,0),1,0)*Table_NFI[[#This Row],[Tent]],Table_NFI[Tent])</f>
        <v>#REF!</v>
      </c>
      <c r="AR84" s="220" t="str">
        <f>IFERROR(VLOOKUP(Table_NFI[[#This Row],[Location]],CL,2,0),"")</f>
        <v>MMR001CMP213</v>
      </c>
      <c r="AS84" s="221" t="s">
        <v>1268</v>
      </c>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c r="CZ84" s="222"/>
      <c r="DA84" s="222"/>
      <c r="DB84" s="222"/>
      <c r="DC84" s="222"/>
      <c r="DD84" s="222"/>
      <c r="DE84" s="222"/>
      <c r="DF84" s="222"/>
      <c r="DG84" s="222"/>
      <c r="DH84" s="222"/>
      <c r="DI84" s="222"/>
      <c r="DJ84" s="222"/>
      <c r="DK84" s="222"/>
      <c r="DL84" s="222"/>
      <c r="DM84" s="222"/>
    </row>
    <row r="85" spans="1:117" s="407" customFormat="1" ht="15" customHeight="1" x14ac:dyDescent="0.25">
      <c r="B85" s="748">
        <v>42758</v>
      </c>
      <c r="C85" s="218" t="s">
        <v>420</v>
      </c>
      <c r="D85" s="218" t="s">
        <v>1183</v>
      </c>
      <c r="E85" s="218" t="s">
        <v>378</v>
      </c>
      <c r="F85" s="218" t="s">
        <v>151</v>
      </c>
      <c r="G85" s="218" t="s">
        <v>803</v>
      </c>
      <c r="H85" s="218"/>
      <c r="I85" s="126"/>
      <c r="J85" s="126">
        <v>24</v>
      </c>
      <c r="K85" s="126">
        <v>25</v>
      </c>
      <c r="L85" s="126">
        <v>45</v>
      </c>
      <c r="M85" s="126">
        <v>25</v>
      </c>
      <c r="N85" s="126">
        <v>45</v>
      </c>
      <c r="O85" s="126">
        <v>25</v>
      </c>
      <c r="P85" s="126"/>
      <c r="Q85" s="126">
        <v>25</v>
      </c>
      <c r="R85" s="126">
        <v>83</v>
      </c>
      <c r="S85" s="126"/>
      <c r="T85" s="126"/>
      <c r="U85" s="126"/>
      <c r="V85" s="126"/>
      <c r="W85" s="408"/>
      <c r="X85" s="408"/>
      <c r="Y85" s="126"/>
      <c r="Z85" s="126"/>
      <c r="AA85" s="128" t="e">
        <f>IF(NFI_Expiration=1,IF(#REF!&lt;VLOOKUP(J$5,NFI,5,0),1,0)*Table_NFI[[#This Row],[NFI Core Kit]],Table_NFI[NFI Core Kit])</f>
        <v>#REF!</v>
      </c>
      <c r="AB85" s="128" t="e">
        <f>IF(NFI_Expiration=1,IF(#REF!&lt;VLOOKUP(K$5,NFI,5,0),1,0)*Table_NFI[[#This Row],[Sanitary Kit]],Table_NFI[Sanitary Kit])</f>
        <v>#REF!</v>
      </c>
      <c r="AC85" s="128" t="e">
        <f>IF(NFI_Expiration=1,IF(#REF!&lt;VLOOKUP(L$5,NFI,5,0),1,0)*Table_NFI[[#This Row],[Mosquito net]],Table_NFI[Mosquito net])</f>
        <v>#REF!</v>
      </c>
      <c r="AD85" s="128" t="e">
        <f>IF(NFI_Expiration=1,IF(#REF!&lt;VLOOKUP(M$5,NFI,5,0),1,0)*Table_NFI[[#This Row],[Tarpaulin]],Table_NFI[[#This Row],[Tarpaulin]])</f>
        <v>#REF!</v>
      </c>
      <c r="AE85" s="128" t="e">
        <f>IF(NFI_Expiration=1,IF(#REF!&lt;VLOOKUP(N$5,NFI,5,0),1,0)*Table_NFI[[#This Row],[Blanket]],Table_NFI[[#This Row],[Blanket]])</f>
        <v>#REF!</v>
      </c>
      <c r="AF85" s="128" t="e">
        <f>IF(NFI_Expiration=1,IF(#REF!&lt;VLOOKUP(O$5,NFI,5,0),1,0)*Table_NFI[[#This Row],[Kitchen Set]],Table_NFI[Kitchen Set])</f>
        <v>#REF!</v>
      </c>
      <c r="AG85" s="128" t="e">
        <f>IF(NFI_Expiration=1,IF(#REF!&lt;VLOOKUP(P$5,NFI,5,0),1,0)*Table_NFI[[#This Row],[Clothes Kit]],Table_NFI[Clothes Kit])</f>
        <v>#REF!</v>
      </c>
      <c r="AH85" s="128" t="e">
        <f>IF(NFI_Expiration=1,IF(#REF!&lt;VLOOKUP(Q$5,NFI,5,0),1,0)*Table_NFI[[#This Row],[Plastic Bucket]],Table_NFI[Plastic Bucket])</f>
        <v>#REF!</v>
      </c>
      <c r="AI85" s="128" t="e">
        <f>IF(NFI_Expiration=1,IF(#REF!&lt;VLOOKUP(R$5,NFI,5,0),1,0)*Table_NFI[[#This Row],[Plastic Mat]],Table_NFI[Plastic Mat])*IF(Table_NFI[[#This Row],[Distribution Date]]&gt;"2014-04-01",1,2.5)</f>
        <v>#REF!</v>
      </c>
      <c r="AJ85" s="128" t="e">
        <f>IF(NFI_Expiration=1,IF(#REF!&lt;VLOOKUP(S$5,NFI,5,0),1,0)*Table_NFI[[#This Row],[Winter Clothes Adult]],Table_NFI[Winter Clothes Adult])</f>
        <v>#REF!</v>
      </c>
      <c r="AK85" s="128" t="e">
        <f>IF(NFI_Expiration=1,IF(#REF!&lt;VLOOKUP(T$5,NFI,5,0),1,0)*Table_NFI[[#This Row],[Winter Clothes Children]],Table_NFI[Winter Clothes Children])</f>
        <v>#REF!</v>
      </c>
      <c r="AL85" s="128" t="e">
        <f>IF(NFI_Expiration=1,IF(#REF!&lt;VLOOKUP(U$5,NFI,5,0),1,0)*Table_NFI[[#This Row],[Winter Items Other]],Table_NFI[Winter Items Other])</f>
        <v>#REF!</v>
      </c>
      <c r="AM85" s="128" t="e">
        <f>IF(NFI_Expiration=1,IF(#REF!&lt;VLOOKUP(N$5,NFI,5,0),1,0)*Table_NFI[[#This Row],[Winter Blanket]],Table_NFI[[#This Row],[Winter Blanket]])</f>
        <v>#REF!</v>
      </c>
      <c r="AN85" s="128">
        <f>IF(Table_NFI[[#This Row],[Winter Clothes Adult]]+Table_NFI[[#This Row],[Winter Clothes Children]]+Table_NFI[[#This Row],[Winter Items Other]]+Table_NFI[[#This Row],[Winter Blanket]]&gt;0,1,0)</f>
        <v>0</v>
      </c>
      <c r="AO85" s="146" t="e">
        <f>IF(NFI_Expiration=1,IF(#REF!&lt;VLOOKUP(W$5,NFI,5,0),1,0)*Table_NFI[[#This Row],[Jerry Can]],Table_NFI[Jerry Can])</f>
        <v>#REF!</v>
      </c>
      <c r="AP85" s="146" t="e">
        <f>IF(NFI_Expiration=1,IF(#REF!&lt;VLOOKUP(W$5,NFI,5,0),1,0)*Table_NFI[[#This Row],[Shelter Tool kit]],Table_NFI[Shelter Tool kit])</f>
        <v>#REF!</v>
      </c>
      <c r="AQ85" s="146" t="e">
        <f>IF(NFI_Expiration=1,IF(#REF!&lt;VLOOKUP(W$5,NFI,5,0),1,0)*Table_NFI[[#This Row],[Tent]],Table_NFI[Tent])</f>
        <v>#REF!</v>
      </c>
      <c r="AR85" s="220" t="str">
        <f>IFERROR(VLOOKUP(Table_NFI[[#This Row],[Location]],CL,2,0),"")</f>
        <v>MMR001CMP213</v>
      </c>
      <c r="AS85" s="221" t="s">
        <v>1268</v>
      </c>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c r="CZ85" s="222"/>
      <c r="DA85" s="222"/>
      <c r="DB85" s="222"/>
      <c r="DC85" s="222"/>
      <c r="DD85" s="222"/>
      <c r="DE85" s="222"/>
      <c r="DF85" s="222"/>
      <c r="DG85" s="222"/>
      <c r="DH85" s="222"/>
      <c r="DI85" s="222"/>
      <c r="DJ85" s="222"/>
      <c r="DK85" s="222"/>
      <c r="DL85" s="222"/>
      <c r="DM85" s="222"/>
    </row>
    <row r="86" spans="1:117" s="407" customFormat="1" ht="14.45" customHeight="1" x14ac:dyDescent="0.25">
      <c r="B86" s="748">
        <v>42755</v>
      </c>
      <c r="C86" s="218" t="s">
        <v>420</v>
      </c>
      <c r="D86" s="218" t="s">
        <v>462</v>
      </c>
      <c r="E86" s="218" t="s">
        <v>378</v>
      </c>
      <c r="F86" s="218" t="s">
        <v>309</v>
      </c>
      <c r="G86" s="218" t="s">
        <v>327</v>
      </c>
      <c r="H86" s="218"/>
      <c r="I86" s="126"/>
      <c r="J86" s="126">
        <v>5</v>
      </c>
      <c r="K86" s="126">
        <v>5</v>
      </c>
      <c r="L86" s="126">
        <v>21</v>
      </c>
      <c r="M86" s="126">
        <v>5</v>
      </c>
      <c r="N86" s="126">
        <v>21</v>
      </c>
      <c r="O86" s="126">
        <v>5</v>
      </c>
      <c r="P86" s="126"/>
      <c r="Q86" s="126">
        <v>5</v>
      </c>
      <c r="R86" s="126">
        <v>21</v>
      </c>
      <c r="S86" s="126"/>
      <c r="T86" s="126"/>
      <c r="U86" s="126"/>
      <c r="V86" s="126"/>
      <c r="W86" s="408">
        <v>5</v>
      </c>
      <c r="X86" s="408"/>
      <c r="Y86" s="126"/>
      <c r="Z86" s="126"/>
      <c r="AA86" s="128" t="e">
        <f>IF(NFI_Expiration=1,IF(#REF!&lt;VLOOKUP(J$5,NFI,5,0),1,0)*Table_NFI[[#This Row],[NFI Core Kit]],Table_NFI[NFI Core Kit])</f>
        <v>#REF!</v>
      </c>
      <c r="AB86" s="128" t="e">
        <f>IF(NFI_Expiration=1,IF(#REF!&lt;VLOOKUP(K$5,NFI,5,0),1,0)*Table_NFI[[#This Row],[Sanitary Kit]],Table_NFI[Sanitary Kit])</f>
        <v>#REF!</v>
      </c>
      <c r="AC86" s="128" t="e">
        <f>IF(NFI_Expiration=1,IF(#REF!&lt;VLOOKUP(L$5,NFI,5,0),1,0)*Table_NFI[[#This Row],[Mosquito net]],Table_NFI[Mosquito net])</f>
        <v>#REF!</v>
      </c>
      <c r="AD86" s="128" t="e">
        <f>IF(NFI_Expiration=1,IF(#REF!&lt;VLOOKUP(M$5,NFI,5,0),1,0)*Table_NFI[[#This Row],[Tarpaulin]],Table_NFI[[#This Row],[Tarpaulin]])</f>
        <v>#REF!</v>
      </c>
      <c r="AE86" s="128" t="e">
        <f>IF(NFI_Expiration=1,IF(#REF!&lt;VLOOKUP(N$5,NFI,5,0),1,0)*Table_NFI[[#This Row],[Blanket]],Table_NFI[[#This Row],[Blanket]])</f>
        <v>#REF!</v>
      </c>
      <c r="AF86" s="128" t="e">
        <f>IF(NFI_Expiration=1,IF(#REF!&lt;VLOOKUP(O$5,NFI,5,0),1,0)*Table_NFI[[#This Row],[Kitchen Set]],Table_NFI[Kitchen Set])</f>
        <v>#REF!</v>
      </c>
      <c r="AG86" s="128" t="e">
        <f>IF(NFI_Expiration=1,IF(#REF!&lt;VLOOKUP(P$5,NFI,5,0),1,0)*Table_NFI[[#This Row],[Clothes Kit]],Table_NFI[Clothes Kit])</f>
        <v>#REF!</v>
      </c>
      <c r="AH86" s="128" t="e">
        <f>IF(NFI_Expiration=1,IF(#REF!&lt;VLOOKUP(Q$5,NFI,5,0),1,0)*Table_NFI[[#This Row],[Plastic Bucket]],Table_NFI[Plastic Bucket])</f>
        <v>#REF!</v>
      </c>
      <c r="AI86" s="128" t="e">
        <f>IF(NFI_Expiration=1,IF(#REF!&lt;VLOOKUP(R$5,NFI,5,0),1,0)*Table_NFI[[#This Row],[Plastic Mat]],Table_NFI[Plastic Mat])*IF(Table_NFI[[#This Row],[Distribution Date]]&gt;"2014-04-01",1,2.5)</f>
        <v>#REF!</v>
      </c>
      <c r="AJ86" s="128" t="e">
        <f>IF(NFI_Expiration=1,IF(#REF!&lt;VLOOKUP(S$5,NFI,5,0),1,0)*Table_NFI[[#This Row],[Winter Clothes Adult]],Table_NFI[Winter Clothes Adult])</f>
        <v>#REF!</v>
      </c>
      <c r="AK86" s="128" t="e">
        <f>IF(NFI_Expiration=1,IF(#REF!&lt;VLOOKUP(T$5,NFI,5,0),1,0)*Table_NFI[[#This Row],[Winter Clothes Children]],Table_NFI[Winter Clothes Children])</f>
        <v>#REF!</v>
      </c>
      <c r="AL86" s="128" t="e">
        <f>IF(NFI_Expiration=1,IF(#REF!&lt;VLOOKUP(U$5,NFI,5,0),1,0)*Table_NFI[[#This Row],[Winter Items Other]],Table_NFI[Winter Items Other])</f>
        <v>#REF!</v>
      </c>
      <c r="AM86" s="128" t="e">
        <f>IF(NFI_Expiration=1,IF(#REF!&lt;VLOOKUP(N$5,NFI,5,0),1,0)*Table_NFI[[#This Row],[Winter Blanket]],Table_NFI[[#This Row],[Winter Blanket]])</f>
        <v>#REF!</v>
      </c>
      <c r="AN86" s="128">
        <f>IF(Table_NFI[[#This Row],[Winter Clothes Adult]]+Table_NFI[[#This Row],[Winter Clothes Children]]+Table_NFI[[#This Row],[Winter Items Other]]+Table_NFI[[#This Row],[Winter Blanket]]&gt;0,1,0)</f>
        <v>0</v>
      </c>
      <c r="AO86" s="146" t="e">
        <f>IF(NFI_Expiration=1,IF(#REF!&lt;VLOOKUP(W$5,NFI,5,0),1,0)*Table_NFI[[#This Row],[Jerry Can]],Table_NFI[Jerry Can])</f>
        <v>#REF!</v>
      </c>
      <c r="AP86" s="146" t="e">
        <f>IF(NFI_Expiration=1,IF(#REF!&lt;VLOOKUP(W$5,NFI,5,0),1,0)*Table_NFI[[#This Row],[Shelter Tool kit]],Table_NFI[Shelter Tool kit])</f>
        <v>#REF!</v>
      </c>
      <c r="AQ86" s="146" t="e">
        <f>IF(NFI_Expiration=1,IF(#REF!&lt;VLOOKUP(W$5,NFI,5,0),1,0)*Table_NFI[[#This Row],[Tent]],Table_NFI[Tent])</f>
        <v>#REF!</v>
      </c>
      <c r="AR86" s="220" t="str">
        <f>IFERROR(VLOOKUP(Table_NFI[[#This Row],[Location]],CL,2,0),"")</f>
        <v>MMR001CMP031</v>
      </c>
      <c r="AS86" s="221" t="s">
        <v>1271</v>
      </c>
      <c r="AT86" s="222"/>
      <c r="AU86" s="222"/>
      <c r="AV86" s="222"/>
      <c r="AW86" s="222"/>
      <c r="AX86" s="222"/>
      <c r="AY86" s="222"/>
      <c r="AZ86" s="222"/>
      <c r="BA86" s="222"/>
      <c r="BB86" s="222"/>
      <c r="BC86" s="222"/>
      <c r="BD86" s="222"/>
      <c r="BE86" s="222"/>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c r="CH86" s="222"/>
      <c r="CI86" s="222"/>
      <c r="CJ86" s="222"/>
      <c r="CK86" s="222"/>
      <c r="CL86" s="222"/>
      <c r="CM86" s="222"/>
      <c r="CN86" s="222"/>
      <c r="CO86" s="222"/>
      <c r="CP86" s="222"/>
      <c r="CQ86" s="222"/>
      <c r="CR86" s="222"/>
      <c r="CS86" s="222"/>
      <c r="CT86" s="222"/>
      <c r="CU86" s="222"/>
      <c r="CV86" s="222"/>
      <c r="CW86" s="222"/>
      <c r="CX86" s="222"/>
      <c r="CY86" s="222"/>
      <c r="CZ86" s="222"/>
      <c r="DA86" s="222"/>
      <c r="DB86" s="222"/>
      <c r="DC86" s="222"/>
      <c r="DD86" s="222"/>
      <c r="DE86" s="222"/>
      <c r="DF86" s="222"/>
      <c r="DG86" s="222"/>
      <c r="DH86" s="222"/>
      <c r="DI86" s="222"/>
      <c r="DJ86" s="222"/>
      <c r="DK86" s="222"/>
      <c r="DL86" s="222"/>
      <c r="DM86" s="222"/>
    </row>
    <row r="87" spans="1:117" s="407" customFormat="1" ht="14.45" customHeight="1" x14ac:dyDescent="0.25">
      <c r="B87" s="748">
        <v>42755</v>
      </c>
      <c r="C87" s="218" t="s">
        <v>420</v>
      </c>
      <c r="D87" s="218" t="s">
        <v>462</v>
      </c>
      <c r="E87" s="218" t="s">
        <v>378</v>
      </c>
      <c r="F87" s="218" t="s">
        <v>309</v>
      </c>
      <c r="G87" s="218" t="s">
        <v>349</v>
      </c>
      <c r="H87" s="218"/>
      <c r="I87" s="126"/>
      <c r="J87" s="126">
        <v>6</v>
      </c>
      <c r="K87" s="126">
        <v>6</v>
      </c>
      <c r="L87" s="126">
        <v>13</v>
      </c>
      <c r="M87" s="126">
        <v>6</v>
      </c>
      <c r="N87" s="126">
        <v>13</v>
      </c>
      <c r="O87" s="126">
        <v>6</v>
      </c>
      <c r="P87" s="126"/>
      <c r="Q87" s="126">
        <v>6</v>
      </c>
      <c r="R87" s="126">
        <v>13</v>
      </c>
      <c r="S87" s="126"/>
      <c r="T87" s="126"/>
      <c r="U87" s="126"/>
      <c r="V87" s="126"/>
      <c r="W87" s="408">
        <v>6</v>
      </c>
      <c r="X87" s="408"/>
      <c r="Y87" s="126"/>
      <c r="Z87" s="126"/>
      <c r="AA87" s="128" t="e">
        <f>IF(NFI_Expiration=1,IF(#REF!&lt;VLOOKUP(J$5,NFI,5,0),1,0)*Table_NFI[[#This Row],[NFI Core Kit]],Table_NFI[NFI Core Kit])</f>
        <v>#REF!</v>
      </c>
      <c r="AB87" s="128" t="e">
        <f>IF(NFI_Expiration=1,IF(#REF!&lt;VLOOKUP(K$5,NFI,5,0),1,0)*Table_NFI[[#This Row],[Sanitary Kit]],Table_NFI[Sanitary Kit])</f>
        <v>#REF!</v>
      </c>
      <c r="AC87" s="128" t="e">
        <f>IF(NFI_Expiration=1,IF(#REF!&lt;VLOOKUP(L$5,NFI,5,0),1,0)*Table_NFI[[#This Row],[Mosquito net]],Table_NFI[Mosquito net])</f>
        <v>#REF!</v>
      </c>
      <c r="AD87" s="128" t="e">
        <f>IF(NFI_Expiration=1,IF(#REF!&lt;VLOOKUP(M$5,NFI,5,0),1,0)*Table_NFI[[#This Row],[Tarpaulin]],Table_NFI[[#This Row],[Tarpaulin]])</f>
        <v>#REF!</v>
      </c>
      <c r="AE87" s="128" t="e">
        <f>IF(NFI_Expiration=1,IF(#REF!&lt;VLOOKUP(N$5,NFI,5,0),1,0)*Table_NFI[[#This Row],[Blanket]],Table_NFI[[#This Row],[Blanket]])</f>
        <v>#REF!</v>
      </c>
      <c r="AF87" s="128" t="e">
        <f>IF(NFI_Expiration=1,IF(#REF!&lt;VLOOKUP(O$5,NFI,5,0),1,0)*Table_NFI[[#This Row],[Kitchen Set]],Table_NFI[Kitchen Set])</f>
        <v>#REF!</v>
      </c>
      <c r="AG87" s="128" t="e">
        <f>IF(NFI_Expiration=1,IF(#REF!&lt;VLOOKUP(P$5,NFI,5,0),1,0)*Table_NFI[[#This Row],[Clothes Kit]],Table_NFI[Clothes Kit])</f>
        <v>#REF!</v>
      </c>
      <c r="AH87" s="128" t="e">
        <f>IF(NFI_Expiration=1,IF(#REF!&lt;VLOOKUP(Q$5,NFI,5,0),1,0)*Table_NFI[[#This Row],[Plastic Bucket]],Table_NFI[Plastic Bucket])</f>
        <v>#REF!</v>
      </c>
      <c r="AI87" s="128" t="e">
        <f>IF(NFI_Expiration=1,IF(#REF!&lt;VLOOKUP(R$5,NFI,5,0),1,0)*Table_NFI[[#This Row],[Plastic Mat]],Table_NFI[Plastic Mat])*IF(Table_NFI[[#This Row],[Distribution Date]]&gt;"2014-04-01",1,2.5)</f>
        <v>#REF!</v>
      </c>
      <c r="AJ87" s="128" t="e">
        <f>IF(NFI_Expiration=1,IF(#REF!&lt;VLOOKUP(S$5,NFI,5,0),1,0)*Table_NFI[[#This Row],[Winter Clothes Adult]],Table_NFI[Winter Clothes Adult])</f>
        <v>#REF!</v>
      </c>
      <c r="AK87" s="128" t="e">
        <f>IF(NFI_Expiration=1,IF(#REF!&lt;VLOOKUP(T$5,NFI,5,0),1,0)*Table_NFI[[#This Row],[Winter Clothes Children]],Table_NFI[Winter Clothes Children])</f>
        <v>#REF!</v>
      </c>
      <c r="AL87" s="128" t="e">
        <f>IF(NFI_Expiration=1,IF(#REF!&lt;VLOOKUP(U$5,NFI,5,0),1,0)*Table_NFI[[#This Row],[Winter Items Other]],Table_NFI[Winter Items Other])</f>
        <v>#REF!</v>
      </c>
      <c r="AM87" s="128" t="e">
        <f>IF(NFI_Expiration=1,IF(#REF!&lt;VLOOKUP(N$5,NFI,5,0),1,0)*Table_NFI[[#This Row],[Winter Blanket]],Table_NFI[[#This Row],[Winter Blanket]])</f>
        <v>#REF!</v>
      </c>
      <c r="AN87" s="128">
        <f>IF(Table_NFI[[#This Row],[Winter Clothes Adult]]+Table_NFI[[#This Row],[Winter Clothes Children]]+Table_NFI[[#This Row],[Winter Items Other]]+Table_NFI[[#This Row],[Winter Blanket]]&gt;0,1,0)</f>
        <v>0</v>
      </c>
      <c r="AO87" s="146" t="e">
        <f>IF(NFI_Expiration=1,IF(#REF!&lt;VLOOKUP(W$5,NFI,5,0),1,0)*Table_NFI[[#This Row],[Jerry Can]],Table_NFI[Jerry Can])</f>
        <v>#REF!</v>
      </c>
      <c r="AP87" s="146" t="e">
        <f>IF(NFI_Expiration=1,IF(#REF!&lt;VLOOKUP(W$5,NFI,5,0),1,0)*Table_NFI[[#This Row],[Shelter Tool kit]],Table_NFI[Shelter Tool kit])</f>
        <v>#REF!</v>
      </c>
      <c r="AQ87" s="146" t="e">
        <f>IF(NFI_Expiration=1,IF(#REF!&lt;VLOOKUP(W$5,NFI,5,0),1,0)*Table_NFI[[#This Row],[Tent]],Table_NFI[Tent])</f>
        <v>#REF!</v>
      </c>
      <c r="AR87" s="220" t="str">
        <f>IFERROR(VLOOKUP(Table_NFI[[#This Row],[Location]],CL,2,0),"")</f>
        <v>MMR001CMP026</v>
      </c>
      <c r="AS87" s="221" t="s">
        <v>1271</v>
      </c>
      <c r="AT87" s="222"/>
      <c r="AU87" s="222"/>
      <c r="AV87" s="222"/>
      <c r="AW87" s="222"/>
      <c r="AX87" s="222"/>
      <c r="AY87" s="222"/>
      <c r="AZ87" s="222"/>
      <c r="BA87" s="222"/>
      <c r="BB87" s="222"/>
      <c r="BC87" s="222"/>
      <c r="BD87" s="222"/>
      <c r="BE87" s="222"/>
      <c r="BF87" s="222"/>
      <c r="BG87" s="222"/>
      <c r="BH87" s="222"/>
      <c r="BI87" s="222"/>
      <c r="BJ87" s="222"/>
      <c r="BK87" s="222"/>
      <c r="BL87" s="222"/>
      <c r="BM87" s="222"/>
      <c r="BN87" s="222"/>
      <c r="BO87" s="222"/>
      <c r="BP87" s="222"/>
      <c r="BQ87" s="222"/>
      <c r="BR87" s="222"/>
      <c r="BS87" s="222"/>
      <c r="BT87" s="222"/>
      <c r="BU87" s="222"/>
      <c r="BV87" s="222"/>
      <c r="BW87" s="222"/>
      <c r="BX87" s="222"/>
      <c r="BY87" s="222"/>
      <c r="BZ87" s="222"/>
      <c r="CA87" s="222"/>
      <c r="CB87" s="222"/>
      <c r="CC87" s="222"/>
      <c r="CD87" s="222"/>
      <c r="CE87" s="222"/>
      <c r="CF87" s="222"/>
      <c r="CG87" s="222"/>
      <c r="CH87" s="222"/>
      <c r="CI87" s="222"/>
      <c r="CJ87" s="222"/>
      <c r="CK87" s="222"/>
      <c r="CL87" s="222"/>
      <c r="CM87" s="222"/>
      <c r="CN87" s="222"/>
      <c r="CO87" s="222"/>
      <c r="CP87" s="222"/>
      <c r="CQ87" s="222"/>
      <c r="CR87" s="222"/>
      <c r="CS87" s="222"/>
      <c r="CT87" s="222"/>
      <c r="CU87" s="222"/>
      <c r="CV87" s="222"/>
      <c r="CW87" s="222"/>
      <c r="CX87" s="222"/>
      <c r="CY87" s="222"/>
      <c r="CZ87" s="222"/>
      <c r="DA87" s="222"/>
      <c r="DB87" s="222"/>
      <c r="DC87" s="222"/>
      <c r="DD87" s="222"/>
      <c r="DE87" s="222"/>
      <c r="DF87" s="222"/>
      <c r="DG87" s="222"/>
      <c r="DH87" s="222"/>
      <c r="DI87" s="222"/>
      <c r="DJ87" s="222"/>
      <c r="DK87" s="222"/>
      <c r="DL87" s="222"/>
      <c r="DM87" s="222"/>
    </row>
    <row r="88" spans="1:117" s="407" customFormat="1" ht="14.45" customHeight="1" x14ac:dyDescent="0.25">
      <c r="B88" s="748">
        <v>42755</v>
      </c>
      <c r="C88" s="218" t="s">
        <v>420</v>
      </c>
      <c r="D88" s="218" t="s">
        <v>462</v>
      </c>
      <c r="E88" s="218" t="s">
        <v>378</v>
      </c>
      <c r="F88" s="218" t="s">
        <v>309</v>
      </c>
      <c r="G88" s="218" t="s">
        <v>317</v>
      </c>
      <c r="H88" s="218"/>
      <c r="I88" s="126"/>
      <c r="J88" s="126">
        <v>9</v>
      </c>
      <c r="K88" s="126">
        <v>9</v>
      </c>
      <c r="L88" s="126">
        <v>19</v>
      </c>
      <c r="M88" s="126">
        <v>9</v>
      </c>
      <c r="N88" s="126">
        <v>19</v>
      </c>
      <c r="O88" s="126">
        <v>9</v>
      </c>
      <c r="P88" s="126"/>
      <c r="Q88" s="126">
        <v>9</v>
      </c>
      <c r="R88" s="126">
        <v>19</v>
      </c>
      <c r="S88" s="126"/>
      <c r="T88" s="126"/>
      <c r="U88" s="126"/>
      <c r="V88" s="126"/>
      <c r="W88" s="408">
        <v>9</v>
      </c>
      <c r="X88" s="408"/>
      <c r="Y88" s="126"/>
      <c r="Z88" s="126">
        <v>10</v>
      </c>
      <c r="AA88" s="128" t="e">
        <f>IF(NFI_Expiration=1,IF(#REF!&lt;VLOOKUP(J$5,NFI,5,0),1,0)*Table_NFI[[#This Row],[NFI Core Kit]],Table_NFI[NFI Core Kit])</f>
        <v>#REF!</v>
      </c>
      <c r="AB88" s="128" t="e">
        <f>IF(NFI_Expiration=1,IF(#REF!&lt;VLOOKUP(K$5,NFI,5,0),1,0)*Table_NFI[[#This Row],[Sanitary Kit]],Table_NFI[Sanitary Kit])</f>
        <v>#REF!</v>
      </c>
      <c r="AC88" s="128" t="e">
        <f>IF(NFI_Expiration=1,IF(#REF!&lt;VLOOKUP(L$5,NFI,5,0),1,0)*Table_NFI[[#This Row],[Mosquito net]],Table_NFI[Mosquito net])</f>
        <v>#REF!</v>
      </c>
      <c r="AD88" s="128" t="e">
        <f>IF(NFI_Expiration=1,IF(#REF!&lt;VLOOKUP(M$5,NFI,5,0),1,0)*Table_NFI[[#This Row],[Tarpaulin]],Table_NFI[[#This Row],[Tarpaulin]])</f>
        <v>#REF!</v>
      </c>
      <c r="AE88" s="128" t="e">
        <f>IF(NFI_Expiration=1,IF(#REF!&lt;VLOOKUP(N$5,NFI,5,0),1,0)*Table_NFI[[#This Row],[Blanket]],Table_NFI[[#This Row],[Blanket]])</f>
        <v>#REF!</v>
      </c>
      <c r="AF88" s="128" t="e">
        <f>IF(NFI_Expiration=1,IF(#REF!&lt;VLOOKUP(O$5,NFI,5,0),1,0)*Table_NFI[[#This Row],[Kitchen Set]],Table_NFI[Kitchen Set])</f>
        <v>#REF!</v>
      </c>
      <c r="AG88" s="128" t="e">
        <f>IF(NFI_Expiration=1,IF(#REF!&lt;VLOOKUP(P$5,NFI,5,0),1,0)*Table_NFI[[#This Row],[Clothes Kit]],Table_NFI[Clothes Kit])</f>
        <v>#REF!</v>
      </c>
      <c r="AH88" s="128" t="e">
        <f>IF(NFI_Expiration=1,IF(#REF!&lt;VLOOKUP(Q$5,NFI,5,0),1,0)*Table_NFI[[#This Row],[Plastic Bucket]],Table_NFI[Plastic Bucket])</f>
        <v>#REF!</v>
      </c>
      <c r="AI88" s="128" t="e">
        <f>IF(NFI_Expiration=1,IF(#REF!&lt;VLOOKUP(R$5,NFI,5,0),1,0)*Table_NFI[[#This Row],[Plastic Mat]],Table_NFI[Plastic Mat])*IF(Table_NFI[[#This Row],[Distribution Date]]&gt;"2014-04-01",1,2.5)</f>
        <v>#REF!</v>
      </c>
      <c r="AJ88" s="128" t="e">
        <f>IF(NFI_Expiration=1,IF(#REF!&lt;VLOOKUP(S$5,NFI,5,0),1,0)*Table_NFI[[#This Row],[Winter Clothes Adult]],Table_NFI[Winter Clothes Adult])</f>
        <v>#REF!</v>
      </c>
      <c r="AK88" s="128" t="e">
        <f>IF(NFI_Expiration=1,IF(#REF!&lt;VLOOKUP(T$5,NFI,5,0),1,0)*Table_NFI[[#This Row],[Winter Clothes Children]],Table_NFI[Winter Clothes Children])</f>
        <v>#REF!</v>
      </c>
      <c r="AL88" s="128" t="e">
        <f>IF(NFI_Expiration=1,IF(#REF!&lt;VLOOKUP(U$5,NFI,5,0),1,0)*Table_NFI[[#This Row],[Winter Items Other]],Table_NFI[Winter Items Other])</f>
        <v>#REF!</v>
      </c>
      <c r="AM88" s="128" t="e">
        <f>IF(NFI_Expiration=1,IF(#REF!&lt;VLOOKUP(N$5,NFI,5,0),1,0)*Table_NFI[[#This Row],[Winter Blanket]],Table_NFI[[#This Row],[Winter Blanket]])</f>
        <v>#REF!</v>
      </c>
      <c r="AN88" s="128">
        <f>IF(Table_NFI[[#This Row],[Winter Clothes Adult]]+Table_NFI[[#This Row],[Winter Clothes Children]]+Table_NFI[[#This Row],[Winter Items Other]]+Table_NFI[[#This Row],[Winter Blanket]]&gt;0,1,0)</f>
        <v>0</v>
      </c>
      <c r="AO88" s="146" t="e">
        <f>IF(NFI_Expiration=1,IF(#REF!&lt;VLOOKUP(W$5,NFI,5,0),1,0)*Table_NFI[[#This Row],[Jerry Can]],Table_NFI[Jerry Can])</f>
        <v>#REF!</v>
      </c>
      <c r="AP88" s="146" t="e">
        <f>IF(NFI_Expiration=1,IF(#REF!&lt;VLOOKUP(W$5,NFI,5,0),1,0)*Table_NFI[[#This Row],[Shelter Tool kit]],Table_NFI[Shelter Tool kit])</f>
        <v>#REF!</v>
      </c>
      <c r="AQ88" s="146" t="e">
        <f>IF(NFI_Expiration=1,IF(#REF!&lt;VLOOKUP(W$5,NFI,5,0),1,0)*Table_NFI[[#This Row],[Tent]],Table_NFI[Tent])</f>
        <v>#REF!</v>
      </c>
      <c r="AR88" s="220" t="str">
        <f>IFERROR(VLOOKUP(Table_NFI[[#This Row],[Location]],CL,2,0),"")</f>
        <v>MMR001CMP032</v>
      </c>
      <c r="AS88" s="221" t="s">
        <v>1271</v>
      </c>
      <c r="AT88" s="222"/>
      <c r="AU88" s="222"/>
      <c r="AV88" s="222"/>
      <c r="AW88" s="222"/>
      <c r="AX88" s="222"/>
      <c r="AY88" s="222"/>
      <c r="AZ88" s="222"/>
      <c r="BA88" s="222"/>
      <c r="BB88" s="222"/>
      <c r="BC88" s="222"/>
      <c r="BD88" s="222"/>
      <c r="BE88" s="222"/>
      <c r="BF88" s="222"/>
      <c r="BG88" s="222"/>
      <c r="BH88" s="222"/>
      <c r="BI88" s="222"/>
      <c r="BJ88" s="222"/>
      <c r="BK88" s="222"/>
      <c r="BL88" s="222"/>
      <c r="BM88" s="222"/>
      <c r="BN88" s="222"/>
      <c r="BO88" s="222"/>
      <c r="BP88" s="222"/>
      <c r="BQ88" s="222"/>
      <c r="BR88" s="222"/>
      <c r="BS88" s="222"/>
      <c r="BT88" s="222"/>
      <c r="BU88" s="222"/>
      <c r="BV88" s="222"/>
      <c r="BW88" s="222"/>
      <c r="BX88" s="222"/>
      <c r="BY88" s="222"/>
      <c r="BZ88" s="222"/>
      <c r="CA88" s="222"/>
      <c r="CB88" s="222"/>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row>
    <row r="89" spans="1:117" s="407" customFormat="1" ht="14.45" customHeight="1" x14ac:dyDescent="0.25">
      <c r="B89" s="748">
        <v>42755</v>
      </c>
      <c r="C89" s="218" t="s">
        <v>420</v>
      </c>
      <c r="D89" s="218" t="s">
        <v>462</v>
      </c>
      <c r="E89" s="218" t="s">
        <v>378</v>
      </c>
      <c r="F89" s="218" t="s">
        <v>309</v>
      </c>
      <c r="G89" s="218" t="s">
        <v>315</v>
      </c>
      <c r="H89" s="218"/>
      <c r="I89" s="126"/>
      <c r="J89" s="126">
        <v>6</v>
      </c>
      <c r="K89" s="126">
        <v>6</v>
      </c>
      <c r="L89" s="126">
        <v>17</v>
      </c>
      <c r="M89" s="126">
        <v>6</v>
      </c>
      <c r="N89" s="126">
        <v>17</v>
      </c>
      <c r="O89" s="126">
        <v>6</v>
      </c>
      <c r="P89" s="126"/>
      <c r="Q89" s="126">
        <v>6</v>
      </c>
      <c r="R89" s="126">
        <v>17</v>
      </c>
      <c r="S89" s="126"/>
      <c r="T89" s="126"/>
      <c r="U89" s="126"/>
      <c r="V89" s="126"/>
      <c r="W89" s="408">
        <v>6</v>
      </c>
      <c r="X89" s="408"/>
      <c r="Y89" s="126"/>
      <c r="Z89" s="126"/>
      <c r="AA89" s="128" t="e">
        <f>IF(NFI_Expiration=1,IF(#REF!&lt;VLOOKUP(J$5,NFI,5,0),1,0)*Table_NFI[[#This Row],[NFI Core Kit]],Table_NFI[NFI Core Kit])</f>
        <v>#REF!</v>
      </c>
      <c r="AB89" s="128" t="e">
        <f>IF(NFI_Expiration=1,IF(#REF!&lt;VLOOKUP(K$5,NFI,5,0),1,0)*Table_NFI[[#This Row],[Sanitary Kit]],Table_NFI[Sanitary Kit])</f>
        <v>#REF!</v>
      </c>
      <c r="AC89" s="128" t="e">
        <f>IF(NFI_Expiration=1,IF(#REF!&lt;VLOOKUP(L$5,NFI,5,0),1,0)*Table_NFI[[#This Row],[Mosquito net]],Table_NFI[Mosquito net])</f>
        <v>#REF!</v>
      </c>
      <c r="AD89" s="128" t="e">
        <f>IF(NFI_Expiration=1,IF(#REF!&lt;VLOOKUP(M$5,NFI,5,0),1,0)*Table_NFI[[#This Row],[Tarpaulin]],Table_NFI[[#This Row],[Tarpaulin]])</f>
        <v>#REF!</v>
      </c>
      <c r="AE89" s="128" t="e">
        <f>IF(NFI_Expiration=1,IF(#REF!&lt;VLOOKUP(N$5,NFI,5,0),1,0)*Table_NFI[[#This Row],[Blanket]],Table_NFI[[#This Row],[Blanket]])</f>
        <v>#REF!</v>
      </c>
      <c r="AF89" s="128" t="e">
        <f>IF(NFI_Expiration=1,IF(#REF!&lt;VLOOKUP(O$5,NFI,5,0),1,0)*Table_NFI[[#This Row],[Kitchen Set]],Table_NFI[Kitchen Set])</f>
        <v>#REF!</v>
      </c>
      <c r="AG89" s="128" t="e">
        <f>IF(NFI_Expiration=1,IF(#REF!&lt;VLOOKUP(P$5,NFI,5,0),1,0)*Table_NFI[[#This Row],[Clothes Kit]],Table_NFI[Clothes Kit])</f>
        <v>#REF!</v>
      </c>
      <c r="AH89" s="128" t="e">
        <f>IF(NFI_Expiration=1,IF(#REF!&lt;VLOOKUP(Q$5,NFI,5,0),1,0)*Table_NFI[[#This Row],[Plastic Bucket]],Table_NFI[Plastic Bucket])</f>
        <v>#REF!</v>
      </c>
      <c r="AI89" s="128" t="e">
        <f>IF(NFI_Expiration=1,IF(#REF!&lt;VLOOKUP(R$5,NFI,5,0),1,0)*Table_NFI[[#This Row],[Plastic Mat]],Table_NFI[Plastic Mat])*IF(Table_NFI[[#This Row],[Distribution Date]]&gt;"2014-04-01",1,2.5)</f>
        <v>#REF!</v>
      </c>
      <c r="AJ89" s="128" t="e">
        <f>IF(NFI_Expiration=1,IF(#REF!&lt;VLOOKUP(S$5,NFI,5,0),1,0)*Table_NFI[[#This Row],[Winter Clothes Adult]],Table_NFI[Winter Clothes Adult])</f>
        <v>#REF!</v>
      </c>
      <c r="AK89" s="128" t="e">
        <f>IF(NFI_Expiration=1,IF(#REF!&lt;VLOOKUP(T$5,NFI,5,0),1,0)*Table_NFI[[#This Row],[Winter Clothes Children]],Table_NFI[Winter Clothes Children])</f>
        <v>#REF!</v>
      </c>
      <c r="AL89" s="128" t="e">
        <f>IF(NFI_Expiration=1,IF(#REF!&lt;VLOOKUP(U$5,NFI,5,0),1,0)*Table_NFI[[#This Row],[Winter Items Other]],Table_NFI[Winter Items Other])</f>
        <v>#REF!</v>
      </c>
      <c r="AM89" s="128" t="e">
        <f>IF(NFI_Expiration=1,IF(#REF!&lt;VLOOKUP(N$5,NFI,5,0),1,0)*Table_NFI[[#This Row],[Winter Blanket]],Table_NFI[[#This Row],[Winter Blanket]])</f>
        <v>#REF!</v>
      </c>
      <c r="AN89" s="128">
        <f>IF(Table_NFI[[#This Row],[Winter Clothes Adult]]+Table_NFI[[#This Row],[Winter Clothes Children]]+Table_NFI[[#This Row],[Winter Items Other]]+Table_NFI[[#This Row],[Winter Blanket]]&gt;0,1,0)</f>
        <v>0</v>
      </c>
      <c r="AO89" s="146" t="e">
        <f>IF(NFI_Expiration=1,IF(#REF!&lt;VLOOKUP(W$5,NFI,5,0),1,0)*Table_NFI[[#This Row],[Jerry Can]],Table_NFI[Jerry Can])</f>
        <v>#REF!</v>
      </c>
      <c r="AP89" s="146" t="e">
        <f>IF(NFI_Expiration=1,IF(#REF!&lt;VLOOKUP(W$5,NFI,5,0),1,0)*Table_NFI[[#This Row],[Shelter Tool kit]],Table_NFI[Shelter Tool kit])</f>
        <v>#REF!</v>
      </c>
      <c r="AQ89" s="146" t="e">
        <f>IF(NFI_Expiration=1,IF(#REF!&lt;VLOOKUP(W$5,NFI,5,0),1,0)*Table_NFI[[#This Row],[Tent]],Table_NFI[Tent])</f>
        <v>#REF!</v>
      </c>
      <c r="AR89" s="220" t="str">
        <f>IFERROR(VLOOKUP(Table_NFI[[#This Row],[Location]],CL,2,0),"")</f>
        <v>MMR001CMP038</v>
      </c>
      <c r="AS89" s="221" t="s">
        <v>1271</v>
      </c>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2"/>
      <c r="CB89" s="222"/>
      <c r="CC89" s="222"/>
      <c r="CD89" s="222"/>
      <c r="CE89" s="222"/>
      <c r="CF89" s="222"/>
      <c r="CG89" s="222"/>
      <c r="CH89" s="222"/>
      <c r="CI89" s="222"/>
      <c r="CJ89" s="222"/>
      <c r="CK89" s="222"/>
      <c r="CL89" s="222"/>
      <c r="CM89" s="222"/>
      <c r="CN89" s="222"/>
      <c r="CO89" s="222"/>
      <c r="CP89" s="222"/>
      <c r="CQ89" s="222"/>
      <c r="CR89" s="222"/>
      <c r="CS89" s="222"/>
      <c r="CT89" s="222"/>
      <c r="CU89" s="222"/>
      <c r="CV89" s="222"/>
      <c r="CW89" s="222"/>
      <c r="CX89" s="222"/>
      <c r="CY89" s="222"/>
      <c r="CZ89" s="222"/>
      <c r="DA89" s="222"/>
      <c r="DB89" s="222"/>
      <c r="DC89" s="222"/>
      <c r="DD89" s="222"/>
      <c r="DE89" s="222"/>
      <c r="DF89" s="222"/>
      <c r="DG89" s="222"/>
      <c r="DH89" s="222"/>
      <c r="DI89" s="222"/>
      <c r="DJ89" s="222"/>
      <c r="DK89" s="222"/>
      <c r="DL89" s="222"/>
      <c r="DM89" s="222"/>
    </row>
    <row r="90" spans="1:117" s="407" customFormat="1" ht="14.45" customHeight="1" x14ac:dyDescent="0.25">
      <c r="B90" s="748">
        <v>42755</v>
      </c>
      <c r="C90" s="218" t="s">
        <v>420</v>
      </c>
      <c r="D90" s="218" t="s">
        <v>462</v>
      </c>
      <c r="E90" s="218" t="s">
        <v>378</v>
      </c>
      <c r="F90" s="218" t="s">
        <v>309</v>
      </c>
      <c r="G90" s="218" t="s">
        <v>347</v>
      </c>
      <c r="H90" s="218"/>
      <c r="I90" s="126"/>
      <c r="J90" s="126">
        <v>1</v>
      </c>
      <c r="K90" s="126">
        <v>1</v>
      </c>
      <c r="L90" s="126">
        <v>4</v>
      </c>
      <c r="M90" s="126">
        <v>1</v>
      </c>
      <c r="N90" s="126">
        <v>4</v>
      </c>
      <c r="O90" s="126">
        <v>1</v>
      </c>
      <c r="P90" s="126"/>
      <c r="Q90" s="126">
        <v>1</v>
      </c>
      <c r="R90" s="126">
        <v>4</v>
      </c>
      <c r="S90" s="126"/>
      <c r="T90" s="126"/>
      <c r="U90" s="126"/>
      <c r="V90" s="126"/>
      <c r="W90" s="408">
        <v>1</v>
      </c>
      <c r="X90" s="408"/>
      <c r="Y90" s="126"/>
      <c r="Z90" s="126"/>
      <c r="AA90" s="128" t="e">
        <f>IF(NFI_Expiration=1,IF(#REF!&lt;VLOOKUP(J$5,NFI,5,0),1,0)*Table_NFI[[#This Row],[NFI Core Kit]],Table_NFI[NFI Core Kit])</f>
        <v>#REF!</v>
      </c>
      <c r="AB90" s="128" t="e">
        <f>IF(NFI_Expiration=1,IF(#REF!&lt;VLOOKUP(K$5,NFI,5,0),1,0)*Table_NFI[[#This Row],[Sanitary Kit]],Table_NFI[Sanitary Kit])</f>
        <v>#REF!</v>
      </c>
      <c r="AC90" s="128" t="e">
        <f>IF(NFI_Expiration=1,IF(#REF!&lt;VLOOKUP(L$5,NFI,5,0),1,0)*Table_NFI[[#This Row],[Mosquito net]],Table_NFI[Mosquito net])</f>
        <v>#REF!</v>
      </c>
      <c r="AD90" s="128" t="e">
        <f>IF(NFI_Expiration=1,IF(#REF!&lt;VLOOKUP(M$5,NFI,5,0),1,0)*Table_NFI[[#This Row],[Tarpaulin]],Table_NFI[[#This Row],[Tarpaulin]])</f>
        <v>#REF!</v>
      </c>
      <c r="AE90" s="128" t="e">
        <f>IF(NFI_Expiration=1,IF(#REF!&lt;VLOOKUP(N$5,NFI,5,0),1,0)*Table_NFI[[#This Row],[Blanket]],Table_NFI[[#This Row],[Blanket]])</f>
        <v>#REF!</v>
      </c>
      <c r="AF90" s="128" t="e">
        <f>IF(NFI_Expiration=1,IF(#REF!&lt;VLOOKUP(O$5,NFI,5,0),1,0)*Table_NFI[[#This Row],[Kitchen Set]],Table_NFI[Kitchen Set])</f>
        <v>#REF!</v>
      </c>
      <c r="AG90" s="128" t="e">
        <f>IF(NFI_Expiration=1,IF(#REF!&lt;VLOOKUP(P$5,NFI,5,0),1,0)*Table_NFI[[#This Row],[Clothes Kit]],Table_NFI[Clothes Kit])</f>
        <v>#REF!</v>
      </c>
      <c r="AH90" s="128" t="e">
        <f>IF(NFI_Expiration=1,IF(#REF!&lt;VLOOKUP(Q$5,NFI,5,0),1,0)*Table_NFI[[#This Row],[Plastic Bucket]],Table_NFI[Plastic Bucket])</f>
        <v>#REF!</v>
      </c>
      <c r="AI90" s="128" t="e">
        <f>IF(NFI_Expiration=1,IF(#REF!&lt;VLOOKUP(R$5,NFI,5,0),1,0)*Table_NFI[[#This Row],[Plastic Mat]],Table_NFI[Plastic Mat])*IF(Table_NFI[[#This Row],[Distribution Date]]&gt;"2014-04-01",1,2.5)</f>
        <v>#REF!</v>
      </c>
      <c r="AJ90" s="128" t="e">
        <f>IF(NFI_Expiration=1,IF(#REF!&lt;VLOOKUP(S$5,NFI,5,0),1,0)*Table_NFI[[#This Row],[Winter Clothes Adult]],Table_NFI[Winter Clothes Adult])</f>
        <v>#REF!</v>
      </c>
      <c r="AK90" s="128" t="e">
        <f>IF(NFI_Expiration=1,IF(#REF!&lt;VLOOKUP(T$5,NFI,5,0),1,0)*Table_NFI[[#This Row],[Winter Clothes Children]],Table_NFI[Winter Clothes Children])</f>
        <v>#REF!</v>
      </c>
      <c r="AL90" s="128" t="e">
        <f>IF(NFI_Expiration=1,IF(#REF!&lt;VLOOKUP(U$5,NFI,5,0),1,0)*Table_NFI[[#This Row],[Winter Items Other]],Table_NFI[Winter Items Other])</f>
        <v>#REF!</v>
      </c>
      <c r="AM90" s="128" t="e">
        <f>IF(NFI_Expiration=1,IF(#REF!&lt;VLOOKUP(N$5,NFI,5,0),1,0)*Table_NFI[[#This Row],[Winter Blanket]],Table_NFI[[#This Row],[Winter Blanket]])</f>
        <v>#REF!</v>
      </c>
      <c r="AN90" s="128">
        <f>IF(Table_NFI[[#This Row],[Winter Clothes Adult]]+Table_NFI[[#This Row],[Winter Clothes Children]]+Table_NFI[[#This Row],[Winter Items Other]]+Table_NFI[[#This Row],[Winter Blanket]]&gt;0,1,0)</f>
        <v>0</v>
      </c>
      <c r="AO90" s="146" t="e">
        <f>IF(NFI_Expiration=1,IF(#REF!&lt;VLOOKUP(W$5,NFI,5,0),1,0)*Table_NFI[[#This Row],[Jerry Can]],Table_NFI[Jerry Can])</f>
        <v>#REF!</v>
      </c>
      <c r="AP90" s="146" t="e">
        <f>IF(NFI_Expiration=1,IF(#REF!&lt;VLOOKUP(W$5,NFI,5,0),1,0)*Table_NFI[[#This Row],[Shelter Tool kit]],Table_NFI[Shelter Tool kit])</f>
        <v>#REF!</v>
      </c>
      <c r="AQ90" s="146" t="e">
        <f>IF(NFI_Expiration=1,IF(#REF!&lt;VLOOKUP(W$5,NFI,5,0),1,0)*Table_NFI[[#This Row],[Tent]],Table_NFI[Tent])</f>
        <v>#REF!</v>
      </c>
      <c r="AR90" s="220" t="str">
        <f>IFERROR(VLOOKUP(Table_NFI[[#This Row],[Location]],CL,2,0),"")</f>
        <v>MMR001CMP037</v>
      </c>
      <c r="AS90" s="221" t="s">
        <v>1271</v>
      </c>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2"/>
      <c r="BR90" s="222"/>
      <c r="BS90" s="222"/>
      <c r="BT90" s="222"/>
      <c r="BU90" s="222"/>
      <c r="BV90" s="222"/>
      <c r="BW90" s="222"/>
      <c r="BX90" s="222"/>
      <c r="BY90" s="222"/>
      <c r="BZ90" s="222"/>
      <c r="CA90" s="222"/>
      <c r="CB90" s="222"/>
      <c r="CC90" s="222"/>
      <c r="CD90" s="222"/>
      <c r="CE90" s="222"/>
      <c r="CF90" s="222"/>
      <c r="CG90" s="222"/>
      <c r="CH90" s="222"/>
      <c r="CI90" s="222"/>
      <c r="CJ90" s="222"/>
      <c r="CK90" s="222"/>
      <c r="CL90" s="222"/>
      <c r="CM90" s="222"/>
      <c r="CN90" s="222"/>
      <c r="CO90" s="222"/>
      <c r="CP90" s="222"/>
      <c r="CQ90" s="222"/>
      <c r="CR90" s="222"/>
      <c r="CS90" s="222"/>
      <c r="CT90" s="222"/>
      <c r="CU90" s="222"/>
      <c r="CV90" s="222"/>
      <c r="CW90" s="222"/>
      <c r="CX90" s="222"/>
      <c r="CY90" s="222"/>
      <c r="CZ90" s="222"/>
      <c r="DA90" s="222"/>
      <c r="DB90" s="222"/>
      <c r="DC90" s="222"/>
      <c r="DD90" s="222"/>
      <c r="DE90" s="222"/>
      <c r="DF90" s="222"/>
      <c r="DG90" s="222"/>
      <c r="DH90" s="222"/>
      <c r="DI90" s="222"/>
      <c r="DJ90" s="222"/>
      <c r="DK90" s="222"/>
      <c r="DL90" s="222"/>
      <c r="DM90" s="222"/>
    </row>
    <row r="91" spans="1:117" s="217" customFormat="1" ht="14.45" customHeight="1" x14ac:dyDescent="0.25">
      <c r="A91" s="407"/>
      <c r="B91" s="748">
        <v>42755</v>
      </c>
      <c r="C91" s="218" t="s">
        <v>420</v>
      </c>
      <c r="D91" s="218" t="s">
        <v>424</v>
      </c>
      <c r="E91" s="218" t="s">
        <v>378</v>
      </c>
      <c r="F91" s="218" t="s">
        <v>151</v>
      </c>
      <c r="G91" s="218" t="s">
        <v>804</v>
      </c>
      <c r="H91" s="218"/>
      <c r="I91" s="126"/>
      <c r="J91" s="126">
        <v>11</v>
      </c>
      <c r="K91" s="126">
        <v>11</v>
      </c>
      <c r="L91" s="126">
        <v>32</v>
      </c>
      <c r="M91" s="126">
        <v>11</v>
      </c>
      <c r="N91" s="126">
        <v>32</v>
      </c>
      <c r="O91" s="126">
        <v>11</v>
      </c>
      <c r="P91" s="126"/>
      <c r="Q91" s="126">
        <v>11</v>
      </c>
      <c r="R91" s="126">
        <v>52</v>
      </c>
      <c r="S91" s="126"/>
      <c r="T91" s="126"/>
      <c r="U91" s="126"/>
      <c r="V91" s="126"/>
      <c r="W91" s="408">
        <v>11</v>
      </c>
      <c r="X91" s="408"/>
      <c r="Y91" s="126"/>
      <c r="Z91" s="126">
        <v>11</v>
      </c>
      <c r="AA91" s="128" t="e">
        <f>IF(NFI_Expiration=1,IF(#REF!&lt;VLOOKUP(J$5,NFI,5,0),1,0)*Table_NFI[[#This Row],[NFI Core Kit]],Table_NFI[NFI Core Kit])</f>
        <v>#REF!</v>
      </c>
      <c r="AB91" s="128" t="e">
        <f>IF(NFI_Expiration=1,IF(#REF!&lt;VLOOKUP(K$5,NFI,5,0),1,0)*Table_NFI[[#This Row],[Sanitary Kit]],Table_NFI[Sanitary Kit])</f>
        <v>#REF!</v>
      </c>
      <c r="AC91" s="128" t="e">
        <f>IF(NFI_Expiration=1,IF(#REF!&lt;VLOOKUP(L$5,NFI,5,0),1,0)*Table_NFI[[#This Row],[Mosquito net]],Table_NFI[Mosquito net])</f>
        <v>#REF!</v>
      </c>
      <c r="AD91" s="128" t="e">
        <f>IF(NFI_Expiration=1,IF(#REF!&lt;VLOOKUP(M$5,NFI,5,0),1,0)*Table_NFI[[#This Row],[Tarpaulin]],Table_NFI[[#This Row],[Tarpaulin]])</f>
        <v>#REF!</v>
      </c>
      <c r="AE91" s="128" t="e">
        <f>IF(NFI_Expiration=1,IF(#REF!&lt;VLOOKUP(N$5,NFI,5,0),1,0)*Table_NFI[[#This Row],[Blanket]],Table_NFI[[#This Row],[Blanket]])</f>
        <v>#REF!</v>
      </c>
      <c r="AF91" s="128" t="e">
        <f>IF(NFI_Expiration=1,IF(#REF!&lt;VLOOKUP(O$5,NFI,5,0),1,0)*Table_NFI[[#This Row],[Kitchen Set]],Table_NFI[Kitchen Set])</f>
        <v>#REF!</v>
      </c>
      <c r="AG91" s="128" t="e">
        <f>IF(NFI_Expiration=1,IF(#REF!&lt;VLOOKUP(P$5,NFI,5,0),1,0)*Table_NFI[[#This Row],[Clothes Kit]],Table_NFI[Clothes Kit])</f>
        <v>#REF!</v>
      </c>
      <c r="AH91" s="128" t="e">
        <f>IF(NFI_Expiration=1,IF(#REF!&lt;VLOOKUP(Q$5,NFI,5,0),1,0)*Table_NFI[[#This Row],[Plastic Bucket]],Table_NFI[Plastic Bucket])</f>
        <v>#REF!</v>
      </c>
      <c r="AI91" s="128" t="e">
        <f>IF(NFI_Expiration=1,IF(#REF!&lt;VLOOKUP(R$5,NFI,5,0),1,0)*Table_NFI[[#This Row],[Plastic Mat]],Table_NFI[Plastic Mat])*IF(Table_NFI[[#This Row],[Distribution Date]]&gt;"2014-04-01",1,2.5)</f>
        <v>#REF!</v>
      </c>
      <c r="AJ91" s="128" t="e">
        <f>IF(NFI_Expiration=1,IF(#REF!&lt;VLOOKUP(S$5,NFI,5,0),1,0)*Table_NFI[[#This Row],[Winter Clothes Adult]],Table_NFI[Winter Clothes Adult])</f>
        <v>#REF!</v>
      </c>
      <c r="AK91" s="128" t="e">
        <f>IF(NFI_Expiration=1,IF(#REF!&lt;VLOOKUP(T$5,NFI,5,0),1,0)*Table_NFI[[#This Row],[Winter Clothes Children]],Table_NFI[Winter Clothes Children])</f>
        <v>#REF!</v>
      </c>
      <c r="AL91" s="128" t="e">
        <f>IF(NFI_Expiration=1,IF(#REF!&lt;VLOOKUP(U$5,NFI,5,0),1,0)*Table_NFI[[#This Row],[Winter Items Other]],Table_NFI[Winter Items Other])</f>
        <v>#REF!</v>
      </c>
      <c r="AM91" s="128" t="e">
        <f>IF(NFI_Expiration=1,IF(#REF!&lt;VLOOKUP(N$5,NFI,5,0),1,0)*Table_NFI[[#This Row],[Winter Blanket]],Table_NFI[[#This Row],[Winter Blanket]])</f>
        <v>#REF!</v>
      </c>
      <c r="AN91" s="128">
        <f>IF(Table_NFI[[#This Row],[Winter Clothes Adult]]+Table_NFI[[#This Row],[Winter Clothes Children]]+Table_NFI[[#This Row],[Winter Items Other]]+Table_NFI[[#This Row],[Winter Blanket]]&gt;0,1,0)</f>
        <v>0</v>
      </c>
      <c r="AO91" s="146" t="e">
        <f>IF(NFI_Expiration=1,IF(#REF!&lt;VLOOKUP(W$5,NFI,5,0),1,0)*Table_NFI[[#This Row],[Jerry Can]],Table_NFI[Jerry Can])</f>
        <v>#REF!</v>
      </c>
      <c r="AP91" s="146" t="e">
        <f>IF(NFI_Expiration=1,IF(#REF!&lt;VLOOKUP(W$5,NFI,5,0),1,0)*Table_NFI[[#This Row],[Shelter Tool kit]],Table_NFI[Shelter Tool kit])</f>
        <v>#REF!</v>
      </c>
      <c r="AQ91" s="146" t="e">
        <f>IF(NFI_Expiration=1,IF(#REF!&lt;VLOOKUP(W$5,NFI,5,0),1,0)*Table_NFI[[#This Row],[Tent]],Table_NFI[Tent])</f>
        <v>#REF!</v>
      </c>
      <c r="AR91" s="220" t="str">
        <f>IFERROR(VLOOKUP(Table_NFI[[#This Row],[Location]],CL,2,0),"")</f>
        <v>MMR001CMP212</v>
      </c>
      <c r="AS91" s="221" t="s">
        <v>1271</v>
      </c>
      <c r="AT91" s="222"/>
      <c r="AU91" s="222"/>
      <c r="AV91" s="222"/>
      <c r="AW91" s="222"/>
      <c r="AX91" s="222"/>
      <c r="AY91" s="222"/>
      <c r="AZ91" s="222"/>
      <c r="BA91" s="222"/>
      <c r="BB91" s="222"/>
      <c r="BC91" s="222"/>
      <c r="BD91" s="222"/>
      <c r="BE91" s="222"/>
      <c r="BF91" s="222"/>
      <c r="BG91" s="222"/>
      <c r="BH91" s="222"/>
      <c r="BI91" s="222"/>
      <c r="BJ91" s="222"/>
      <c r="BK91" s="222"/>
      <c r="BL91" s="222"/>
      <c r="BM91" s="222"/>
      <c r="BN91" s="222"/>
      <c r="BO91" s="222"/>
      <c r="BP91" s="222"/>
      <c r="BQ91" s="222"/>
      <c r="BR91" s="222"/>
      <c r="BS91" s="222"/>
      <c r="BT91" s="222"/>
      <c r="BU91" s="222"/>
      <c r="BV91" s="222"/>
      <c r="BW91" s="222"/>
      <c r="BX91" s="222"/>
      <c r="BY91" s="222"/>
      <c r="BZ91" s="222"/>
      <c r="CA91" s="222"/>
      <c r="CB91" s="222"/>
      <c r="CC91" s="222"/>
      <c r="CD91" s="222"/>
      <c r="CE91" s="222"/>
      <c r="CF91" s="222"/>
      <c r="CG91" s="222"/>
      <c r="CH91" s="222"/>
      <c r="CI91" s="222"/>
      <c r="CJ91" s="222"/>
      <c r="CK91" s="222"/>
      <c r="CL91" s="222"/>
      <c r="CM91" s="222"/>
      <c r="CN91" s="222"/>
      <c r="CO91" s="222"/>
      <c r="CP91" s="222"/>
      <c r="CQ91" s="222"/>
      <c r="CR91" s="222"/>
      <c r="CS91" s="222"/>
      <c r="CT91" s="222"/>
      <c r="CU91" s="222"/>
      <c r="CV91" s="222"/>
      <c r="CW91" s="222"/>
      <c r="CX91" s="222"/>
      <c r="CY91" s="222"/>
      <c r="CZ91" s="222"/>
      <c r="DA91" s="222"/>
      <c r="DB91" s="222"/>
      <c r="DC91" s="222"/>
      <c r="DD91" s="222"/>
      <c r="DE91" s="222"/>
      <c r="DF91" s="222"/>
      <c r="DG91" s="222"/>
      <c r="DH91" s="222"/>
      <c r="DI91" s="222"/>
      <c r="DJ91" s="222"/>
      <c r="DK91" s="222"/>
      <c r="DL91" s="222"/>
      <c r="DM91" s="222"/>
    </row>
    <row r="92" spans="1:117" s="217" customFormat="1" ht="14.45" customHeight="1" x14ac:dyDescent="0.25">
      <c r="A92" s="407"/>
      <c r="B92" s="748">
        <v>42754</v>
      </c>
      <c r="C92" s="218" t="s">
        <v>420</v>
      </c>
      <c r="D92" s="218" t="s">
        <v>1116</v>
      </c>
      <c r="E92" s="218" t="s">
        <v>378</v>
      </c>
      <c r="F92" s="218" t="s">
        <v>309</v>
      </c>
      <c r="G92" s="218" t="s">
        <v>329</v>
      </c>
      <c r="H92" s="218"/>
      <c r="I92" s="126"/>
      <c r="J92" s="126">
        <v>9</v>
      </c>
      <c r="K92" s="126">
        <v>9</v>
      </c>
      <c r="L92" s="126">
        <v>35</v>
      </c>
      <c r="M92" s="126">
        <v>9</v>
      </c>
      <c r="N92" s="126">
        <v>35</v>
      </c>
      <c r="O92" s="126">
        <v>9</v>
      </c>
      <c r="P92" s="126"/>
      <c r="Q92" s="126">
        <v>9</v>
      </c>
      <c r="R92" s="126">
        <v>35</v>
      </c>
      <c r="S92" s="126"/>
      <c r="T92" s="126"/>
      <c r="U92" s="126"/>
      <c r="V92" s="126"/>
      <c r="W92" s="408">
        <v>9</v>
      </c>
      <c r="X92" s="408"/>
      <c r="Y92" s="126"/>
      <c r="Z92" s="126">
        <v>9</v>
      </c>
      <c r="AA92" s="128" t="e">
        <f>IF(NFI_Expiration=1,IF(#REF!&lt;VLOOKUP(J$5,NFI,5,0),1,0)*Table_NFI[[#This Row],[NFI Core Kit]],Table_NFI[NFI Core Kit])</f>
        <v>#REF!</v>
      </c>
      <c r="AB92" s="128" t="e">
        <f>IF(NFI_Expiration=1,IF(#REF!&lt;VLOOKUP(K$5,NFI,5,0),1,0)*Table_NFI[[#This Row],[Sanitary Kit]],Table_NFI[Sanitary Kit])</f>
        <v>#REF!</v>
      </c>
      <c r="AC92" s="128" t="e">
        <f>IF(NFI_Expiration=1,IF(#REF!&lt;VLOOKUP(L$5,NFI,5,0),1,0)*Table_NFI[[#This Row],[Mosquito net]],Table_NFI[Mosquito net])</f>
        <v>#REF!</v>
      </c>
      <c r="AD92" s="128" t="e">
        <f>IF(NFI_Expiration=1,IF(#REF!&lt;VLOOKUP(M$5,NFI,5,0),1,0)*Table_NFI[[#This Row],[Tarpaulin]],Table_NFI[[#This Row],[Tarpaulin]])</f>
        <v>#REF!</v>
      </c>
      <c r="AE92" s="128" t="e">
        <f>IF(NFI_Expiration=1,IF(#REF!&lt;VLOOKUP(N$5,NFI,5,0),1,0)*Table_NFI[[#This Row],[Blanket]],Table_NFI[[#This Row],[Blanket]])</f>
        <v>#REF!</v>
      </c>
      <c r="AF92" s="128" t="e">
        <f>IF(NFI_Expiration=1,IF(#REF!&lt;VLOOKUP(O$5,NFI,5,0),1,0)*Table_NFI[[#This Row],[Kitchen Set]],Table_NFI[Kitchen Set])</f>
        <v>#REF!</v>
      </c>
      <c r="AG92" s="128" t="e">
        <f>IF(NFI_Expiration=1,IF(#REF!&lt;VLOOKUP(P$5,NFI,5,0),1,0)*Table_NFI[[#This Row],[Clothes Kit]],Table_NFI[Clothes Kit])</f>
        <v>#REF!</v>
      </c>
      <c r="AH92" s="128" t="e">
        <f>IF(NFI_Expiration=1,IF(#REF!&lt;VLOOKUP(Q$5,NFI,5,0),1,0)*Table_NFI[[#This Row],[Plastic Bucket]],Table_NFI[Plastic Bucket])</f>
        <v>#REF!</v>
      </c>
      <c r="AI92" s="128" t="e">
        <f>IF(NFI_Expiration=1,IF(#REF!&lt;VLOOKUP(R$5,NFI,5,0),1,0)*Table_NFI[[#This Row],[Plastic Mat]],Table_NFI[Plastic Mat])*IF(Table_NFI[[#This Row],[Distribution Date]]&gt;"2014-04-01",1,2.5)</f>
        <v>#REF!</v>
      </c>
      <c r="AJ92" s="128" t="e">
        <f>IF(NFI_Expiration=1,IF(#REF!&lt;VLOOKUP(S$5,NFI,5,0),1,0)*Table_NFI[[#This Row],[Winter Clothes Adult]],Table_NFI[Winter Clothes Adult])</f>
        <v>#REF!</v>
      </c>
      <c r="AK92" s="128" t="e">
        <f>IF(NFI_Expiration=1,IF(#REF!&lt;VLOOKUP(T$5,NFI,5,0),1,0)*Table_NFI[[#This Row],[Winter Clothes Children]],Table_NFI[Winter Clothes Children])</f>
        <v>#REF!</v>
      </c>
      <c r="AL92" s="128" t="e">
        <f>IF(NFI_Expiration=1,IF(#REF!&lt;VLOOKUP(U$5,NFI,5,0),1,0)*Table_NFI[[#This Row],[Winter Items Other]],Table_NFI[Winter Items Other])</f>
        <v>#REF!</v>
      </c>
      <c r="AM92" s="128" t="e">
        <f>IF(NFI_Expiration=1,IF(#REF!&lt;VLOOKUP(N$5,NFI,5,0),1,0)*Table_NFI[[#This Row],[Winter Blanket]],Table_NFI[[#This Row],[Winter Blanket]])</f>
        <v>#REF!</v>
      </c>
      <c r="AN92" s="128">
        <f>IF(Table_NFI[[#This Row],[Winter Clothes Adult]]+Table_NFI[[#This Row],[Winter Clothes Children]]+Table_NFI[[#This Row],[Winter Items Other]]+Table_NFI[[#This Row],[Winter Blanket]]&gt;0,1,0)</f>
        <v>0</v>
      </c>
      <c r="AO92" s="146" t="e">
        <f>IF(NFI_Expiration=1,IF(#REF!&lt;VLOOKUP(W$5,NFI,5,0),1,0)*Table_NFI[[#This Row],[Jerry Can]],Table_NFI[Jerry Can])</f>
        <v>#REF!</v>
      </c>
      <c r="AP92" s="146" t="e">
        <f>IF(NFI_Expiration=1,IF(#REF!&lt;VLOOKUP(W$5,NFI,5,0),1,0)*Table_NFI[[#This Row],[Shelter Tool kit]],Table_NFI[Shelter Tool kit])</f>
        <v>#REF!</v>
      </c>
      <c r="AQ92" s="146" t="e">
        <f>IF(NFI_Expiration=1,IF(#REF!&lt;VLOOKUP(W$5,NFI,5,0),1,0)*Table_NFI[[#This Row],[Tent]],Table_NFI[Tent])</f>
        <v>#REF!</v>
      </c>
      <c r="AR92" s="220" t="str">
        <f>IFERROR(VLOOKUP(Table_NFI[[#This Row],[Location]],CL,2,0),"")</f>
        <v>MMR001CMP029</v>
      </c>
      <c r="AS92" s="221" t="s">
        <v>1271</v>
      </c>
      <c r="AT92" s="222"/>
      <c r="AU92" s="222"/>
      <c r="AV92" s="222"/>
      <c r="AW92" s="222"/>
      <c r="AX92" s="222"/>
      <c r="AY92" s="222"/>
      <c r="AZ92" s="222"/>
      <c r="BA92" s="222"/>
      <c r="BB92" s="222"/>
      <c r="BC92" s="222"/>
      <c r="BD92" s="222"/>
      <c r="BE92" s="222"/>
      <c r="BF92" s="222"/>
      <c r="BG92" s="222"/>
      <c r="BH92" s="222"/>
      <c r="BI92" s="222"/>
      <c r="BJ92" s="222"/>
      <c r="BK92" s="222"/>
      <c r="BL92" s="222"/>
      <c r="BM92" s="222"/>
      <c r="BN92" s="222"/>
      <c r="BO92" s="222"/>
      <c r="BP92" s="222"/>
      <c r="BQ92" s="222"/>
      <c r="BR92" s="222"/>
      <c r="BS92" s="222"/>
      <c r="BT92" s="222"/>
      <c r="BU92" s="222"/>
      <c r="BV92" s="222"/>
      <c r="BW92" s="222"/>
      <c r="BX92" s="222"/>
      <c r="BY92" s="222"/>
      <c r="BZ92" s="222"/>
      <c r="CA92" s="222"/>
      <c r="CB92" s="222"/>
      <c r="CC92" s="222"/>
      <c r="CD92" s="222"/>
      <c r="CE92" s="222"/>
      <c r="CF92" s="222"/>
      <c r="CG92" s="222"/>
      <c r="CH92" s="222"/>
      <c r="CI92" s="222"/>
      <c r="CJ92" s="222"/>
      <c r="CK92" s="222"/>
      <c r="CL92" s="222"/>
      <c r="CM92" s="222"/>
      <c r="CN92" s="222"/>
      <c r="CO92" s="222"/>
      <c r="CP92" s="222"/>
      <c r="CQ92" s="222"/>
      <c r="CR92" s="222"/>
      <c r="CS92" s="222"/>
      <c r="CT92" s="222"/>
      <c r="CU92" s="222"/>
      <c r="CV92" s="222"/>
      <c r="CW92" s="222"/>
      <c r="CX92" s="222"/>
      <c r="CY92" s="222"/>
      <c r="CZ92" s="222"/>
      <c r="DA92" s="222"/>
      <c r="DB92" s="222"/>
      <c r="DC92" s="222"/>
      <c r="DD92" s="222"/>
      <c r="DE92" s="222"/>
      <c r="DF92" s="222"/>
      <c r="DG92" s="222"/>
      <c r="DH92" s="222"/>
      <c r="DI92" s="222"/>
      <c r="DJ92" s="222"/>
      <c r="DK92" s="222"/>
      <c r="DL92" s="222"/>
      <c r="DM92" s="222"/>
    </row>
    <row r="93" spans="1:117" s="217" customFormat="1" ht="15" customHeight="1" x14ac:dyDescent="0.25">
      <c r="A93" s="407"/>
      <c r="B93" s="748">
        <v>42753</v>
      </c>
      <c r="C93" s="214" t="s">
        <v>1567</v>
      </c>
      <c r="D93" s="214" t="s">
        <v>1567</v>
      </c>
      <c r="E93" s="214" t="s">
        <v>378</v>
      </c>
      <c r="F93" s="127" t="s">
        <v>185</v>
      </c>
      <c r="G93" s="127" t="s">
        <v>194</v>
      </c>
      <c r="H93" s="127"/>
      <c r="I93" s="126">
        <v>73</v>
      </c>
      <c r="J93" s="126">
        <v>73</v>
      </c>
      <c r="K93" s="126">
        <v>657</v>
      </c>
      <c r="L93" s="126">
        <v>146</v>
      </c>
      <c r="M93" s="126"/>
      <c r="N93" s="126">
        <v>146</v>
      </c>
      <c r="O93" s="126"/>
      <c r="P93" s="126"/>
      <c r="Q93" s="126">
        <v>73</v>
      </c>
      <c r="R93" s="126">
        <v>146</v>
      </c>
      <c r="S93" s="126"/>
      <c r="T93" s="126"/>
      <c r="U93" s="126"/>
      <c r="V93" s="126"/>
      <c r="W93" s="408">
        <v>73</v>
      </c>
      <c r="X93" s="408"/>
      <c r="Y93" s="126"/>
      <c r="Z93" s="126"/>
      <c r="AA93" s="128" t="e">
        <f>IF(NFI_Expiration=1,IF(#REF!&lt;VLOOKUP(J$5,NFI,5,0),1,0)*Table_NFI[[#This Row],[NFI Core Kit]],Table_NFI[NFI Core Kit])</f>
        <v>#REF!</v>
      </c>
      <c r="AB93" s="128" t="e">
        <f>IF(NFI_Expiration=1,IF(#REF!&lt;VLOOKUP(K$5,NFI,5,0),1,0)*Table_NFI[[#This Row],[Sanitary Kit]],Table_NFI[Sanitary Kit])</f>
        <v>#REF!</v>
      </c>
      <c r="AC93" s="128" t="e">
        <f>IF(NFI_Expiration=1,IF(#REF!&lt;VLOOKUP(L$5,NFI,5,0),1,0)*Table_NFI[[#This Row],[Mosquito net]],Table_NFI[Mosquito net])</f>
        <v>#REF!</v>
      </c>
      <c r="AD93" s="128" t="e">
        <f>IF(NFI_Expiration=1,IF(#REF!&lt;VLOOKUP(M$5,NFI,5,0),1,0)*Table_NFI[[#This Row],[Tarpaulin]],Table_NFI[[#This Row],[Tarpaulin]])</f>
        <v>#REF!</v>
      </c>
      <c r="AE93" s="128" t="e">
        <f>IF(NFI_Expiration=1,IF(#REF!&lt;VLOOKUP(N$5,NFI,5,0),1,0)*Table_NFI[[#This Row],[Blanket]],Table_NFI[[#This Row],[Blanket]])</f>
        <v>#REF!</v>
      </c>
      <c r="AF93" s="128" t="e">
        <f>IF(NFI_Expiration=1,IF(#REF!&lt;VLOOKUP(O$5,NFI,5,0),1,0)*Table_NFI[[#This Row],[Kitchen Set]],Table_NFI[Kitchen Set])</f>
        <v>#REF!</v>
      </c>
      <c r="AG93" s="128" t="e">
        <f>IF(NFI_Expiration=1,IF(#REF!&lt;VLOOKUP(P$5,NFI,5,0),1,0)*Table_NFI[[#This Row],[Clothes Kit]],Table_NFI[Clothes Kit])</f>
        <v>#REF!</v>
      </c>
      <c r="AH93" s="128" t="e">
        <f>IF(NFI_Expiration=1,IF(#REF!&lt;VLOOKUP(Q$5,NFI,5,0),1,0)*Table_NFI[[#This Row],[Plastic Bucket]],Table_NFI[Plastic Bucket])</f>
        <v>#REF!</v>
      </c>
      <c r="AI93" s="128" t="e">
        <f>IF(NFI_Expiration=1,IF(#REF!&lt;VLOOKUP(R$5,NFI,5,0),1,0)*Table_NFI[[#This Row],[Plastic Mat]],Table_NFI[Plastic Mat])*IF(Table_NFI[[#This Row],[Distribution Date]]&gt;"2014-04-01",1,2.5)</f>
        <v>#REF!</v>
      </c>
      <c r="AJ93" s="128" t="e">
        <f>IF(NFI_Expiration=1,IF(#REF!&lt;VLOOKUP(S$5,NFI,5,0),1,0)*Table_NFI[[#This Row],[Winter Clothes Adult]],Table_NFI[Winter Clothes Adult])</f>
        <v>#REF!</v>
      </c>
      <c r="AK93" s="128" t="e">
        <f>IF(NFI_Expiration=1,IF(#REF!&lt;VLOOKUP(T$5,NFI,5,0),1,0)*Table_NFI[[#This Row],[Winter Clothes Children]],Table_NFI[Winter Clothes Children])</f>
        <v>#REF!</v>
      </c>
      <c r="AL93" s="128" t="e">
        <f>IF(NFI_Expiration=1,IF(#REF!&lt;VLOOKUP(U$5,NFI,5,0),1,0)*Table_NFI[[#This Row],[Winter Items Other]],Table_NFI[Winter Items Other])</f>
        <v>#REF!</v>
      </c>
      <c r="AM93" s="128" t="e">
        <f>IF(NFI_Expiration=1,IF(#REF!&lt;VLOOKUP(N$5,NFI,5,0),1,0)*Table_NFI[[#This Row],[Winter Blanket]],Table_NFI[[#This Row],[Winter Blanket]])</f>
        <v>#REF!</v>
      </c>
      <c r="AN93" s="128">
        <f>IF(Table_NFI[[#This Row],[Winter Clothes Adult]]+Table_NFI[[#This Row],[Winter Clothes Children]]+Table_NFI[[#This Row],[Winter Items Other]]+Table_NFI[[#This Row],[Winter Blanket]]&gt;0,1,0)</f>
        <v>0</v>
      </c>
      <c r="AO93" s="146" t="e">
        <f>IF(NFI_Expiration=1,IF(#REF!&lt;VLOOKUP(W$5,NFI,5,0),1,0)*Table_NFI[[#This Row],[Jerry Can]],Table_NFI[Jerry Can])</f>
        <v>#REF!</v>
      </c>
      <c r="AP93" s="146" t="e">
        <f>IF(NFI_Expiration=1,IF(#REF!&lt;VLOOKUP(W$5,NFI,5,0),1,0)*Table_NFI[[#This Row],[Shelter Tool kit]],Table_NFI[Shelter Tool kit])</f>
        <v>#REF!</v>
      </c>
      <c r="AQ93" s="146" t="e">
        <f>IF(NFI_Expiration=1,IF(#REF!&lt;VLOOKUP(W$5,NFI,5,0),1,0)*Table_NFI[[#This Row],[Tent]],Table_NFI[Tent])</f>
        <v>#REF!</v>
      </c>
      <c r="AR93" s="220" t="str">
        <f>IFERROR(VLOOKUP(Table_NFI[[#This Row],[Location]],CL,2,0),"")</f>
        <v>MMR001CMP122</v>
      </c>
      <c r="AS93" s="216" t="s">
        <v>1293</v>
      </c>
      <c r="AT93" s="222"/>
      <c r="AU93" s="222"/>
      <c r="AV93" s="222"/>
      <c r="AW93" s="222"/>
      <c r="AX93" s="222"/>
      <c r="AY93" s="222"/>
      <c r="AZ93" s="222"/>
      <c r="BA93" s="222"/>
      <c r="BB93" s="222"/>
      <c r="BC93" s="222"/>
      <c r="BD93" s="222"/>
      <c r="BE93" s="222"/>
      <c r="BF93" s="222"/>
      <c r="BG93" s="222"/>
      <c r="BH93" s="222"/>
      <c r="BI93" s="222"/>
      <c r="BJ93" s="222"/>
      <c r="BK93" s="222"/>
      <c r="BL93" s="222"/>
      <c r="BM93" s="222"/>
      <c r="BN93" s="222"/>
      <c r="BO93" s="222"/>
      <c r="BP93" s="222"/>
      <c r="BQ93" s="222"/>
      <c r="BR93" s="222"/>
      <c r="BS93" s="222"/>
      <c r="BT93" s="222"/>
      <c r="BU93" s="222"/>
      <c r="BV93" s="222"/>
      <c r="BW93" s="222"/>
      <c r="BX93" s="222"/>
      <c r="BY93" s="222"/>
      <c r="BZ93" s="222"/>
      <c r="CA93" s="222"/>
      <c r="CB93" s="222"/>
      <c r="CC93" s="222"/>
      <c r="CD93" s="222"/>
      <c r="CE93" s="222"/>
      <c r="CF93" s="222"/>
      <c r="CG93" s="222"/>
      <c r="CH93" s="222"/>
      <c r="CI93" s="222"/>
      <c r="CJ93" s="222"/>
      <c r="CK93" s="222"/>
      <c r="CL93" s="222"/>
      <c r="CM93" s="222"/>
      <c r="CN93" s="222"/>
      <c r="CO93" s="222"/>
      <c r="CP93" s="222"/>
      <c r="CQ93" s="222"/>
      <c r="CR93" s="222"/>
      <c r="CS93" s="222"/>
      <c r="CT93" s="222"/>
      <c r="CU93" s="222"/>
      <c r="CV93" s="222"/>
      <c r="CW93" s="222"/>
      <c r="CX93" s="222"/>
      <c r="CY93" s="222"/>
      <c r="CZ93" s="222"/>
      <c r="DA93" s="222"/>
      <c r="DB93" s="222"/>
      <c r="DC93" s="222"/>
      <c r="DD93" s="222"/>
      <c r="DE93" s="222"/>
      <c r="DF93" s="222"/>
      <c r="DG93" s="222"/>
      <c r="DH93" s="222"/>
      <c r="DI93" s="222"/>
      <c r="DJ93" s="222"/>
      <c r="DK93" s="222"/>
      <c r="DL93" s="222"/>
      <c r="DM93" s="222"/>
    </row>
    <row r="94" spans="1:117" s="217" customFormat="1" ht="14.45" customHeight="1" x14ac:dyDescent="0.25">
      <c r="A94" s="407"/>
      <c r="B94" s="748">
        <v>42753</v>
      </c>
      <c r="C94" s="214" t="s">
        <v>1567</v>
      </c>
      <c r="D94" s="214" t="s">
        <v>1567</v>
      </c>
      <c r="E94" s="214" t="s">
        <v>378</v>
      </c>
      <c r="F94" s="127" t="s">
        <v>309</v>
      </c>
      <c r="G94" s="127" t="s">
        <v>351</v>
      </c>
      <c r="H94" s="127"/>
      <c r="I94" s="126">
        <v>10</v>
      </c>
      <c r="J94" s="126">
        <v>10</v>
      </c>
      <c r="K94" s="126">
        <v>90</v>
      </c>
      <c r="L94" s="126">
        <v>20</v>
      </c>
      <c r="M94" s="126"/>
      <c r="N94" s="126">
        <v>20</v>
      </c>
      <c r="O94" s="126"/>
      <c r="P94" s="126"/>
      <c r="Q94" s="126">
        <v>10</v>
      </c>
      <c r="R94" s="126">
        <v>20</v>
      </c>
      <c r="S94" s="126"/>
      <c r="T94" s="126"/>
      <c r="U94" s="126"/>
      <c r="V94" s="126"/>
      <c r="W94" s="408">
        <v>10</v>
      </c>
      <c r="X94" s="408"/>
      <c r="Y94" s="126"/>
      <c r="Z94" s="126"/>
      <c r="AA94" s="128" t="e">
        <f>IF(NFI_Expiration=1,IF(#REF!&lt;VLOOKUP(J$5,NFI,5,0),1,0)*Table_NFI[[#This Row],[NFI Core Kit]],Table_NFI[NFI Core Kit])</f>
        <v>#REF!</v>
      </c>
      <c r="AB94" s="128" t="e">
        <f>IF(NFI_Expiration=1,IF(#REF!&lt;VLOOKUP(K$5,NFI,5,0),1,0)*Table_NFI[[#This Row],[Sanitary Kit]],Table_NFI[Sanitary Kit])</f>
        <v>#REF!</v>
      </c>
      <c r="AC94" s="128" t="e">
        <f>IF(NFI_Expiration=1,IF(#REF!&lt;VLOOKUP(L$5,NFI,5,0),1,0)*Table_NFI[[#This Row],[Mosquito net]],Table_NFI[Mosquito net])</f>
        <v>#REF!</v>
      </c>
      <c r="AD94" s="128" t="e">
        <f>IF(NFI_Expiration=1,IF(#REF!&lt;VLOOKUP(M$5,NFI,5,0),1,0)*Table_NFI[[#This Row],[Tarpaulin]],Table_NFI[[#This Row],[Tarpaulin]])</f>
        <v>#REF!</v>
      </c>
      <c r="AE94" s="128" t="e">
        <f>IF(NFI_Expiration=1,IF(#REF!&lt;VLOOKUP(N$5,NFI,5,0),1,0)*Table_NFI[[#This Row],[Blanket]],Table_NFI[[#This Row],[Blanket]])</f>
        <v>#REF!</v>
      </c>
      <c r="AF94" s="128" t="e">
        <f>IF(NFI_Expiration=1,IF(#REF!&lt;VLOOKUP(O$5,NFI,5,0),1,0)*Table_NFI[[#This Row],[Kitchen Set]],Table_NFI[Kitchen Set])</f>
        <v>#REF!</v>
      </c>
      <c r="AG94" s="128" t="e">
        <f>IF(NFI_Expiration=1,IF(#REF!&lt;VLOOKUP(P$5,NFI,5,0),1,0)*Table_NFI[[#This Row],[Clothes Kit]],Table_NFI[Clothes Kit])</f>
        <v>#REF!</v>
      </c>
      <c r="AH94" s="128" t="e">
        <f>IF(NFI_Expiration=1,IF(#REF!&lt;VLOOKUP(Q$5,NFI,5,0),1,0)*Table_NFI[[#This Row],[Plastic Bucket]],Table_NFI[Plastic Bucket])</f>
        <v>#REF!</v>
      </c>
      <c r="AI94" s="128" t="e">
        <f>IF(NFI_Expiration=1,IF(#REF!&lt;VLOOKUP(R$5,NFI,5,0),1,0)*Table_NFI[[#This Row],[Plastic Mat]],Table_NFI[Plastic Mat])*IF(Table_NFI[[#This Row],[Distribution Date]]&gt;"2014-04-01",1,2.5)</f>
        <v>#REF!</v>
      </c>
      <c r="AJ94" s="128" t="e">
        <f>IF(NFI_Expiration=1,IF(#REF!&lt;VLOOKUP(S$5,NFI,5,0),1,0)*Table_NFI[[#This Row],[Winter Clothes Adult]],Table_NFI[Winter Clothes Adult])</f>
        <v>#REF!</v>
      </c>
      <c r="AK94" s="128" t="e">
        <f>IF(NFI_Expiration=1,IF(#REF!&lt;VLOOKUP(T$5,NFI,5,0),1,0)*Table_NFI[[#This Row],[Winter Clothes Children]],Table_NFI[Winter Clothes Children])</f>
        <v>#REF!</v>
      </c>
      <c r="AL94" s="128" t="e">
        <f>IF(NFI_Expiration=1,IF(#REF!&lt;VLOOKUP(U$5,NFI,5,0),1,0)*Table_NFI[[#This Row],[Winter Items Other]],Table_NFI[Winter Items Other])</f>
        <v>#REF!</v>
      </c>
      <c r="AM94" s="128" t="e">
        <f>IF(NFI_Expiration=1,IF(#REF!&lt;VLOOKUP(N$5,NFI,5,0),1,0)*Table_NFI[[#This Row],[Winter Blanket]],Table_NFI[[#This Row],[Winter Blanket]])</f>
        <v>#REF!</v>
      </c>
      <c r="AN94" s="128">
        <f>IF(Table_NFI[[#This Row],[Winter Clothes Adult]]+Table_NFI[[#This Row],[Winter Clothes Children]]+Table_NFI[[#This Row],[Winter Items Other]]+Table_NFI[[#This Row],[Winter Blanket]]&gt;0,1,0)</f>
        <v>0</v>
      </c>
      <c r="AO94" s="146" t="e">
        <f>IF(NFI_Expiration=1,IF(#REF!&lt;VLOOKUP(W$5,NFI,5,0),1,0)*Table_NFI[[#This Row],[Jerry Can]],Table_NFI[Jerry Can])</f>
        <v>#REF!</v>
      </c>
      <c r="AP94" s="146" t="e">
        <f>IF(NFI_Expiration=1,IF(#REF!&lt;VLOOKUP(W$5,NFI,5,0),1,0)*Table_NFI[[#This Row],[Shelter Tool kit]],Table_NFI[Shelter Tool kit])</f>
        <v>#REF!</v>
      </c>
      <c r="AQ94" s="146" t="e">
        <f>IF(NFI_Expiration=1,IF(#REF!&lt;VLOOKUP(W$5,NFI,5,0),1,0)*Table_NFI[[#This Row],[Tent]],Table_NFI[Tent])</f>
        <v>#REF!</v>
      </c>
      <c r="AR94" s="220" t="str">
        <f>IFERROR(VLOOKUP(Table_NFI[[#This Row],[Location]],CL,2,0),"")</f>
        <v>MMR001CMP116</v>
      </c>
      <c r="AS94" s="216" t="s">
        <v>1293</v>
      </c>
      <c r="AT94" s="222"/>
      <c r="AU94" s="222"/>
      <c r="AV94" s="222"/>
      <c r="AW94" s="222"/>
      <c r="AX94" s="222"/>
      <c r="AY94" s="222"/>
      <c r="AZ94" s="222"/>
      <c r="BA94" s="222"/>
      <c r="BB94" s="222"/>
      <c r="BC94" s="222"/>
      <c r="BD94" s="222"/>
      <c r="BE94" s="222"/>
      <c r="BF94" s="222"/>
      <c r="BG94" s="222"/>
      <c r="BH94" s="222"/>
      <c r="BI94" s="222"/>
      <c r="BJ94" s="222"/>
      <c r="BK94" s="222"/>
      <c r="BL94" s="222"/>
      <c r="BM94" s="222"/>
      <c r="BN94" s="222"/>
      <c r="BO94" s="222"/>
      <c r="BP94" s="222"/>
      <c r="BQ94" s="222"/>
      <c r="BR94" s="222"/>
      <c r="BS94" s="222"/>
      <c r="BT94" s="222"/>
      <c r="BU94" s="222"/>
      <c r="BV94" s="222"/>
      <c r="BW94" s="222"/>
      <c r="BX94" s="222"/>
      <c r="BY94" s="222"/>
      <c r="BZ94" s="222"/>
      <c r="CA94" s="222"/>
      <c r="CB94" s="222"/>
      <c r="CC94" s="222"/>
      <c r="CD94" s="222"/>
      <c r="CE94" s="222"/>
      <c r="CF94" s="222"/>
      <c r="CG94" s="222"/>
      <c r="CH94" s="222"/>
      <c r="CI94" s="222"/>
      <c r="CJ94" s="222"/>
      <c r="CK94" s="222"/>
      <c r="CL94" s="222"/>
      <c r="CM94" s="222"/>
      <c r="CN94" s="222"/>
      <c r="CO94" s="222"/>
      <c r="CP94" s="222"/>
      <c r="CQ94" s="222"/>
      <c r="CR94" s="222"/>
      <c r="CS94" s="222"/>
      <c r="CT94" s="222"/>
      <c r="CU94" s="222"/>
      <c r="CV94" s="222"/>
      <c r="CW94" s="222"/>
      <c r="CX94" s="222"/>
      <c r="CY94" s="222"/>
      <c r="CZ94" s="222"/>
      <c r="DA94" s="222"/>
      <c r="DB94" s="222"/>
      <c r="DC94" s="222"/>
      <c r="DD94" s="222"/>
      <c r="DE94" s="222"/>
      <c r="DF94" s="222"/>
      <c r="DG94" s="222"/>
      <c r="DH94" s="222"/>
      <c r="DI94" s="222"/>
      <c r="DJ94" s="222"/>
      <c r="DK94" s="222"/>
      <c r="DL94" s="222"/>
      <c r="DM94" s="222"/>
    </row>
    <row r="95" spans="1:117" s="217" customFormat="1" ht="15" customHeight="1" x14ac:dyDescent="0.25">
      <c r="A95" s="407"/>
      <c r="B95" s="748">
        <v>42750</v>
      </c>
      <c r="C95" s="218" t="s">
        <v>420</v>
      </c>
      <c r="D95" s="218" t="s">
        <v>424</v>
      </c>
      <c r="E95" s="218" t="s">
        <v>378</v>
      </c>
      <c r="F95" s="218" t="s">
        <v>151</v>
      </c>
      <c r="G95" s="218" t="s">
        <v>804</v>
      </c>
      <c r="H95" s="218"/>
      <c r="I95" s="126"/>
      <c r="J95" s="126">
        <v>15</v>
      </c>
      <c r="K95" s="126">
        <v>15</v>
      </c>
      <c r="L95" s="126">
        <v>15</v>
      </c>
      <c r="M95" s="126">
        <v>15</v>
      </c>
      <c r="N95" s="126">
        <v>15</v>
      </c>
      <c r="O95" s="126">
        <v>15</v>
      </c>
      <c r="P95" s="126"/>
      <c r="Q95" s="126">
        <v>15</v>
      </c>
      <c r="R95" s="126">
        <v>30</v>
      </c>
      <c r="S95" s="126"/>
      <c r="T95" s="126"/>
      <c r="U95" s="126"/>
      <c r="V95" s="126"/>
      <c r="W95" s="408">
        <v>15</v>
      </c>
      <c r="X95" s="408"/>
      <c r="Y95" s="126"/>
      <c r="Z95" s="126">
        <v>15</v>
      </c>
      <c r="AA95" s="128" t="e">
        <f>IF(NFI_Expiration=1,IF(#REF!&lt;VLOOKUP(J$5,NFI,5,0),1,0)*Table_NFI[[#This Row],[NFI Core Kit]],Table_NFI[NFI Core Kit])</f>
        <v>#REF!</v>
      </c>
      <c r="AB95" s="128" t="e">
        <f>IF(NFI_Expiration=1,IF(#REF!&lt;VLOOKUP(K$5,NFI,5,0),1,0)*Table_NFI[[#This Row],[Sanitary Kit]],Table_NFI[Sanitary Kit])</f>
        <v>#REF!</v>
      </c>
      <c r="AC95" s="128" t="e">
        <f>IF(NFI_Expiration=1,IF(#REF!&lt;VLOOKUP(L$5,NFI,5,0),1,0)*Table_NFI[[#This Row],[Mosquito net]],Table_NFI[Mosquito net])</f>
        <v>#REF!</v>
      </c>
      <c r="AD95" s="128" t="e">
        <f>IF(NFI_Expiration=1,IF(#REF!&lt;VLOOKUP(M$5,NFI,5,0),1,0)*Table_NFI[[#This Row],[Tarpaulin]],Table_NFI[[#This Row],[Tarpaulin]])</f>
        <v>#REF!</v>
      </c>
      <c r="AE95" s="128" t="e">
        <f>IF(NFI_Expiration=1,IF(#REF!&lt;VLOOKUP(N$5,NFI,5,0),1,0)*Table_NFI[[#This Row],[Blanket]],Table_NFI[[#This Row],[Blanket]])</f>
        <v>#REF!</v>
      </c>
      <c r="AF95" s="128" t="e">
        <f>IF(NFI_Expiration=1,IF(#REF!&lt;VLOOKUP(O$5,NFI,5,0),1,0)*Table_NFI[[#This Row],[Kitchen Set]],Table_NFI[Kitchen Set])</f>
        <v>#REF!</v>
      </c>
      <c r="AG95" s="128" t="e">
        <f>IF(NFI_Expiration=1,IF(#REF!&lt;VLOOKUP(P$5,NFI,5,0),1,0)*Table_NFI[[#This Row],[Clothes Kit]],Table_NFI[Clothes Kit])</f>
        <v>#REF!</v>
      </c>
      <c r="AH95" s="128" t="e">
        <f>IF(NFI_Expiration=1,IF(#REF!&lt;VLOOKUP(Q$5,NFI,5,0),1,0)*Table_NFI[[#This Row],[Plastic Bucket]],Table_NFI[Plastic Bucket])</f>
        <v>#REF!</v>
      </c>
      <c r="AI95" s="128" t="e">
        <f>IF(NFI_Expiration=1,IF(#REF!&lt;VLOOKUP(R$5,NFI,5,0),1,0)*Table_NFI[[#This Row],[Plastic Mat]],Table_NFI[Plastic Mat])*IF(Table_NFI[[#This Row],[Distribution Date]]&gt;"2014-04-01",1,2.5)</f>
        <v>#REF!</v>
      </c>
      <c r="AJ95" s="128" t="e">
        <f>IF(NFI_Expiration=1,IF(#REF!&lt;VLOOKUP(S$5,NFI,5,0),1,0)*Table_NFI[[#This Row],[Winter Clothes Adult]],Table_NFI[Winter Clothes Adult])</f>
        <v>#REF!</v>
      </c>
      <c r="AK95" s="128" t="e">
        <f>IF(NFI_Expiration=1,IF(#REF!&lt;VLOOKUP(T$5,NFI,5,0),1,0)*Table_NFI[[#This Row],[Winter Clothes Children]],Table_NFI[Winter Clothes Children])</f>
        <v>#REF!</v>
      </c>
      <c r="AL95" s="128" t="e">
        <f>IF(NFI_Expiration=1,IF(#REF!&lt;VLOOKUP(U$5,NFI,5,0),1,0)*Table_NFI[[#This Row],[Winter Items Other]],Table_NFI[Winter Items Other])</f>
        <v>#REF!</v>
      </c>
      <c r="AM95" s="128" t="e">
        <f>IF(NFI_Expiration=1,IF(#REF!&lt;VLOOKUP(N$5,NFI,5,0),1,0)*Table_NFI[[#This Row],[Winter Blanket]],Table_NFI[[#This Row],[Winter Blanket]])</f>
        <v>#REF!</v>
      </c>
      <c r="AN95" s="128">
        <f>IF(Table_NFI[[#This Row],[Winter Clothes Adult]]+Table_NFI[[#This Row],[Winter Clothes Children]]+Table_NFI[[#This Row],[Winter Items Other]]+Table_NFI[[#This Row],[Winter Blanket]]&gt;0,1,0)</f>
        <v>0</v>
      </c>
      <c r="AO95" s="146" t="e">
        <f>IF(NFI_Expiration=1,IF(#REF!&lt;VLOOKUP(W$5,NFI,5,0),1,0)*Table_NFI[[#This Row],[Jerry Can]],Table_NFI[Jerry Can])</f>
        <v>#REF!</v>
      </c>
      <c r="AP95" s="146" t="e">
        <f>IF(NFI_Expiration=1,IF(#REF!&lt;VLOOKUP(W$5,NFI,5,0),1,0)*Table_NFI[[#This Row],[Shelter Tool kit]],Table_NFI[Shelter Tool kit])</f>
        <v>#REF!</v>
      </c>
      <c r="AQ95" s="146" t="e">
        <f>IF(NFI_Expiration=1,IF(#REF!&lt;VLOOKUP(W$5,NFI,5,0),1,0)*Table_NFI[[#This Row],[Tent]],Table_NFI[Tent])</f>
        <v>#REF!</v>
      </c>
      <c r="AR95" s="220" t="str">
        <f>IFERROR(VLOOKUP(Table_NFI[[#This Row],[Location]],CL,2,0),"")</f>
        <v>MMR001CMP212</v>
      </c>
      <c r="AS95" s="221" t="s">
        <v>1271</v>
      </c>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2"/>
      <c r="CT95" s="222"/>
      <c r="CU95" s="222"/>
      <c r="CV95" s="222"/>
      <c r="CW95" s="222"/>
      <c r="CX95" s="222"/>
      <c r="CY95" s="222"/>
      <c r="CZ95" s="222"/>
      <c r="DA95" s="222"/>
      <c r="DB95" s="222"/>
      <c r="DC95" s="222"/>
      <c r="DD95" s="222"/>
      <c r="DE95" s="222"/>
      <c r="DF95" s="222"/>
      <c r="DG95" s="222"/>
      <c r="DH95" s="222"/>
      <c r="DI95" s="222"/>
      <c r="DJ95" s="222"/>
      <c r="DK95" s="222"/>
      <c r="DL95" s="222"/>
      <c r="DM95" s="222"/>
    </row>
    <row r="96" spans="1:117" s="217" customFormat="1" ht="14.45" customHeight="1" x14ac:dyDescent="0.25">
      <c r="A96" s="407"/>
      <c r="B96" s="748">
        <v>42750</v>
      </c>
      <c r="C96" s="214" t="s">
        <v>1567</v>
      </c>
      <c r="D96" s="214" t="s">
        <v>1567</v>
      </c>
      <c r="E96" s="218" t="s">
        <v>378</v>
      </c>
      <c r="F96" s="218" t="s">
        <v>151</v>
      </c>
      <c r="G96" s="218" t="s">
        <v>813</v>
      </c>
      <c r="H96" s="218"/>
      <c r="I96" s="126">
        <v>15</v>
      </c>
      <c r="J96" s="126"/>
      <c r="K96" s="126">
        <v>135</v>
      </c>
      <c r="L96" s="126"/>
      <c r="M96" s="126"/>
      <c r="N96" s="126"/>
      <c r="O96" s="126"/>
      <c r="P96" s="126"/>
      <c r="Q96" s="126">
        <v>15</v>
      </c>
      <c r="R96" s="126"/>
      <c r="S96" s="126"/>
      <c r="T96" s="126"/>
      <c r="U96" s="126"/>
      <c r="V96" s="126"/>
      <c r="W96" s="408">
        <v>15</v>
      </c>
      <c r="X96" s="408"/>
      <c r="Y96" s="126"/>
      <c r="Z96" s="126"/>
      <c r="AA96" s="128" t="e">
        <f>IF(NFI_Expiration=1,IF(#REF!&lt;VLOOKUP(J$5,NFI,5,0),1,0)*Table_NFI[[#This Row],[NFI Core Kit]],Table_NFI[NFI Core Kit])</f>
        <v>#REF!</v>
      </c>
      <c r="AB96" s="128" t="e">
        <f>IF(NFI_Expiration=1,IF(#REF!&lt;VLOOKUP(K$5,NFI,5,0),1,0)*Table_NFI[[#This Row],[Sanitary Kit]],Table_NFI[Sanitary Kit])</f>
        <v>#REF!</v>
      </c>
      <c r="AC96" s="128" t="e">
        <f>IF(NFI_Expiration=1,IF(#REF!&lt;VLOOKUP(L$5,NFI,5,0),1,0)*Table_NFI[[#This Row],[Mosquito net]],Table_NFI[Mosquito net])</f>
        <v>#REF!</v>
      </c>
      <c r="AD96" s="128" t="e">
        <f>IF(NFI_Expiration=1,IF(#REF!&lt;VLOOKUP(M$5,NFI,5,0),1,0)*Table_NFI[[#This Row],[Tarpaulin]],Table_NFI[[#This Row],[Tarpaulin]])</f>
        <v>#REF!</v>
      </c>
      <c r="AE96" s="128" t="e">
        <f>IF(NFI_Expiration=1,IF(#REF!&lt;VLOOKUP(N$5,NFI,5,0),1,0)*Table_NFI[[#This Row],[Blanket]],Table_NFI[[#This Row],[Blanket]])</f>
        <v>#REF!</v>
      </c>
      <c r="AF96" s="128" t="e">
        <f>IF(NFI_Expiration=1,IF(#REF!&lt;VLOOKUP(O$5,NFI,5,0),1,0)*Table_NFI[[#This Row],[Kitchen Set]],Table_NFI[Kitchen Set])</f>
        <v>#REF!</v>
      </c>
      <c r="AG96" s="128" t="e">
        <f>IF(NFI_Expiration=1,IF(#REF!&lt;VLOOKUP(P$5,NFI,5,0),1,0)*Table_NFI[[#This Row],[Clothes Kit]],Table_NFI[Clothes Kit])</f>
        <v>#REF!</v>
      </c>
      <c r="AH96" s="128" t="e">
        <f>IF(NFI_Expiration=1,IF(#REF!&lt;VLOOKUP(Q$5,NFI,5,0),1,0)*Table_NFI[[#This Row],[Plastic Bucket]],Table_NFI[Plastic Bucket])</f>
        <v>#REF!</v>
      </c>
      <c r="AI96" s="128" t="e">
        <f>IF(NFI_Expiration=1,IF(#REF!&lt;VLOOKUP(R$5,NFI,5,0),1,0)*Table_NFI[[#This Row],[Plastic Mat]],Table_NFI[Plastic Mat])*IF(Table_NFI[[#This Row],[Distribution Date]]&gt;"2014-04-01",1,2.5)</f>
        <v>#REF!</v>
      </c>
      <c r="AJ96" s="128" t="e">
        <f>IF(NFI_Expiration=1,IF(#REF!&lt;VLOOKUP(S$5,NFI,5,0),1,0)*Table_NFI[[#This Row],[Winter Clothes Adult]],Table_NFI[Winter Clothes Adult])</f>
        <v>#REF!</v>
      </c>
      <c r="AK96" s="128" t="e">
        <f>IF(NFI_Expiration=1,IF(#REF!&lt;VLOOKUP(T$5,NFI,5,0),1,0)*Table_NFI[[#This Row],[Winter Clothes Children]],Table_NFI[Winter Clothes Children])</f>
        <v>#REF!</v>
      </c>
      <c r="AL96" s="128" t="e">
        <f>IF(NFI_Expiration=1,IF(#REF!&lt;VLOOKUP(U$5,NFI,5,0),1,0)*Table_NFI[[#This Row],[Winter Items Other]],Table_NFI[Winter Items Other])</f>
        <v>#REF!</v>
      </c>
      <c r="AM96" s="128" t="e">
        <f>IF(NFI_Expiration=1,IF(#REF!&lt;VLOOKUP(N$5,NFI,5,0),1,0)*Table_NFI[[#This Row],[Winter Blanket]],Table_NFI[[#This Row],[Winter Blanket]])</f>
        <v>#REF!</v>
      </c>
      <c r="AN96" s="128">
        <f>IF(Table_NFI[[#This Row],[Winter Clothes Adult]]+Table_NFI[[#This Row],[Winter Clothes Children]]+Table_NFI[[#This Row],[Winter Items Other]]+Table_NFI[[#This Row],[Winter Blanket]]&gt;0,1,0)</f>
        <v>0</v>
      </c>
      <c r="AO96" s="146" t="e">
        <f>IF(NFI_Expiration=1,IF(#REF!&lt;VLOOKUP(W$5,NFI,5,0),1,0)*Table_NFI[[#This Row],[Jerry Can]],Table_NFI[Jerry Can])</f>
        <v>#REF!</v>
      </c>
      <c r="AP96" s="146" t="e">
        <f>IF(NFI_Expiration=1,IF(#REF!&lt;VLOOKUP(W$5,NFI,5,0),1,0)*Table_NFI[[#This Row],[Shelter Tool kit]],Table_NFI[Shelter Tool kit])</f>
        <v>#REF!</v>
      </c>
      <c r="AQ96" s="146" t="e">
        <f>IF(NFI_Expiration=1,IF(#REF!&lt;VLOOKUP(W$5,NFI,5,0),1,0)*Table_NFI[[#This Row],[Tent]],Table_NFI[Tent])</f>
        <v>#REF!</v>
      </c>
      <c r="AR96" s="220" t="str">
        <f>IFERROR(VLOOKUP(Table_NFI[[#This Row],[Location]],CL,2,0),"")</f>
        <v>MMR001CMP218</v>
      </c>
      <c r="AS96" s="216" t="s">
        <v>1293</v>
      </c>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row>
    <row r="97" spans="1:117" s="217" customFormat="1" ht="14.45" customHeight="1" x14ac:dyDescent="0.25">
      <c r="A97" s="407"/>
      <c r="B97" s="748">
        <v>42745</v>
      </c>
      <c r="C97" s="218" t="s">
        <v>420</v>
      </c>
      <c r="D97" s="218" t="s">
        <v>1116</v>
      </c>
      <c r="E97" s="218" t="s">
        <v>378</v>
      </c>
      <c r="F97" s="218" t="s">
        <v>237</v>
      </c>
      <c r="G97" s="218" t="s">
        <v>254</v>
      </c>
      <c r="H97" s="218"/>
      <c r="I97" s="126"/>
      <c r="J97" s="126">
        <v>1</v>
      </c>
      <c r="K97" s="126">
        <v>1</v>
      </c>
      <c r="L97" s="126">
        <v>4</v>
      </c>
      <c r="M97" s="126">
        <v>1</v>
      </c>
      <c r="N97" s="126">
        <v>4</v>
      </c>
      <c r="O97" s="126">
        <v>1</v>
      </c>
      <c r="P97" s="126"/>
      <c r="Q97" s="126">
        <v>1</v>
      </c>
      <c r="R97" s="126">
        <v>4</v>
      </c>
      <c r="S97" s="126"/>
      <c r="T97" s="126"/>
      <c r="U97" s="126"/>
      <c r="V97" s="126"/>
      <c r="W97" s="408">
        <v>1</v>
      </c>
      <c r="X97" s="408"/>
      <c r="Y97" s="126"/>
      <c r="Z97" s="126"/>
      <c r="AA97" s="128"/>
      <c r="AB97" s="128"/>
      <c r="AC97" s="128"/>
      <c r="AD97" s="128"/>
      <c r="AE97" s="128"/>
      <c r="AF97" s="128"/>
      <c r="AG97" s="128"/>
      <c r="AH97" s="128"/>
      <c r="AI97" s="128"/>
      <c r="AJ97" s="128"/>
      <c r="AK97" s="128"/>
      <c r="AL97" s="128"/>
      <c r="AM97" s="128"/>
      <c r="AN97" s="128"/>
      <c r="AO97" s="146"/>
      <c r="AP97" s="146"/>
      <c r="AQ97" s="146"/>
      <c r="AR97" s="220" t="str">
        <f>IFERROR(VLOOKUP(Table_NFI[[#This Row],[Location]],CL,2,0),"")</f>
        <v>MMR001CMP019</v>
      </c>
      <c r="AS97" s="221" t="s">
        <v>1271</v>
      </c>
      <c r="AT97" s="222"/>
      <c r="AU97" s="222"/>
      <c r="AV97" s="222"/>
      <c r="AW97" s="222"/>
      <c r="AX97" s="222"/>
      <c r="AY97" s="222"/>
      <c r="AZ97" s="222"/>
      <c r="BA97" s="222"/>
      <c r="BB97" s="222"/>
      <c r="BC97" s="222"/>
      <c r="BD97" s="222"/>
      <c r="BE97" s="222"/>
      <c r="BF97" s="222"/>
      <c r="BG97" s="222"/>
      <c r="BH97" s="222"/>
      <c r="BI97" s="222"/>
      <c r="BJ97" s="222"/>
      <c r="BK97" s="222"/>
      <c r="BL97" s="222"/>
      <c r="BM97" s="222"/>
      <c r="BN97" s="222"/>
      <c r="BO97" s="222"/>
      <c r="BP97" s="222"/>
      <c r="BQ97" s="222"/>
      <c r="BR97" s="222"/>
      <c r="BS97" s="222"/>
      <c r="BT97" s="222"/>
      <c r="BU97" s="222"/>
      <c r="BV97" s="222"/>
      <c r="BW97" s="222"/>
      <c r="BX97" s="222"/>
      <c r="BY97" s="222"/>
      <c r="BZ97" s="222"/>
      <c r="CA97" s="222"/>
      <c r="CB97" s="222"/>
      <c r="CC97" s="222"/>
      <c r="CD97" s="222"/>
      <c r="CE97" s="222"/>
      <c r="CF97" s="222"/>
      <c r="CG97" s="222"/>
      <c r="CH97" s="222"/>
      <c r="CI97" s="222"/>
      <c r="CJ97" s="222"/>
      <c r="CK97" s="222"/>
      <c r="CL97" s="222"/>
      <c r="CM97" s="222"/>
      <c r="CN97" s="222"/>
      <c r="CO97" s="222"/>
      <c r="CP97" s="222"/>
      <c r="CQ97" s="222"/>
      <c r="CR97" s="222"/>
      <c r="CS97" s="222"/>
      <c r="CT97" s="222"/>
      <c r="CU97" s="222"/>
      <c r="CV97" s="222"/>
      <c r="CW97" s="222"/>
      <c r="CX97" s="222"/>
      <c r="CY97" s="222"/>
      <c r="CZ97" s="222"/>
      <c r="DA97" s="222"/>
      <c r="DB97" s="222"/>
      <c r="DC97" s="222"/>
      <c r="DD97" s="222"/>
      <c r="DE97" s="222"/>
      <c r="DF97" s="222"/>
      <c r="DG97" s="222"/>
      <c r="DH97" s="222"/>
      <c r="DI97" s="222"/>
      <c r="DJ97" s="222"/>
      <c r="DK97" s="222"/>
      <c r="DL97" s="222"/>
      <c r="DM97" s="222"/>
    </row>
    <row r="98" spans="1:117" s="407" customFormat="1" ht="15" customHeight="1" x14ac:dyDescent="0.25">
      <c r="B98" s="748">
        <v>42745</v>
      </c>
      <c r="C98" s="218" t="s">
        <v>420</v>
      </c>
      <c r="D98" s="218" t="s">
        <v>1116</v>
      </c>
      <c r="E98" s="218" t="s">
        <v>378</v>
      </c>
      <c r="F98" s="218" t="s">
        <v>309</v>
      </c>
      <c r="G98" s="218" t="s">
        <v>329</v>
      </c>
      <c r="H98" s="218"/>
      <c r="I98" s="126"/>
      <c r="J98" s="126">
        <v>6</v>
      </c>
      <c r="K98" s="126">
        <v>6</v>
      </c>
      <c r="L98" s="126">
        <v>10</v>
      </c>
      <c r="M98" s="126">
        <v>6</v>
      </c>
      <c r="N98" s="126">
        <v>18</v>
      </c>
      <c r="O98" s="126">
        <v>6</v>
      </c>
      <c r="P98" s="126"/>
      <c r="Q98" s="126">
        <v>6</v>
      </c>
      <c r="R98" s="126">
        <v>17</v>
      </c>
      <c r="S98" s="126"/>
      <c r="T98" s="126"/>
      <c r="U98" s="126"/>
      <c r="V98" s="126"/>
      <c r="W98" s="408">
        <v>6</v>
      </c>
      <c r="X98" s="408"/>
      <c r="Y98" s="126"/>
      <c r="Z98" s="126"/>
      <c r="AA98" s="128"/>
      <c r="AB98" s="128"/>
      <c r="AC98" s="128"/>
      <c r="AD98" s="128"/>
      <c r="AE98" s="128"/>
      <c r="AF98" s="128"/>
      <c r="AG98" s="128"/>
      <c r="AH98" s="128"/>
      <c r="AI98" s="128"/>
      <c r="AJ98" s="128"/>
      <c r="AK98" s="128"/>
      <c r="AL98" s="128"/>
      <c r="AM98" s="128"/>
      <c r="AN98" s="128"/>
      <c r="AO98" s="146"/>
      <c r="AP98" s="146"/>
      <c r="AQ98" s="146"/>
      <c r="AR98" s="220" t="str">
        <f>IFERROR(VLOOKUP(Table_NFI[[#This Row],[Location]],CL,2,0),"")</f>
        <v>MMR001CMP029</v>
      </c>
      <c r="AS98" s="221" t="s">
        <v>1271</v>
      </c>
      <c r="AT98" s="222"/>
      <c r="AU98" s="222"/>
      <c r="AV98" s="222"/>
      <c r="AW98" s="222"/>
      <c r="AX98" s="222"/>
      <c r="AY98" s="222"/>
      <c r="AZ98" s="222"/>
      <c r="BA98" s="222"/>
      <c r="BB98" s="222"/>
      <c r="BC98" s="222"/>
      <c r="BD98" s="222"/>
      <c r="BE98" s="222"/>
      <c r="BF98" s="222"/>
      <c r="BG98" s="222"/>
      <c r="BH98" s="222"/>
      <c r="BI98" s="222"/>
      <c r="BJ98" s="222"/>
      <c r="BK98" s="222"/>
      <c r="BL98" s="222"/>
      <c r="BM98" s="222"/>
      <c r="BN98" s="222"/>
      <c r="BO98" s="222"/>
      <c r="BP98" s="222"/>
      <c r="BQ98" s="222"/>
      <c r="BR98" s="222"/>
      <c r="BS98" s="222"/>
      <c r="BT98" s="222"/>
      <c r="BU98" s="222"/>
      <c r="BV98" s="222"/>
      <c r="BW98" s="222"/>
      <c r="BX98" s="222"/>
      <c r="BY98" s="222"/>
      <c r="BZ98" s="222"/>
      <c r="CA98" s="222"/>
      <c r="CB98" s="222"/>
      <c r="CC98" s="222"/>
      <c r="CD98" s="222"/>
      <c r="CE98" s="222"/>
      <c r="CF98" s="222"/>
      <c r="CG98" s="222"/>
      <c r="CH98" s="222"/>
      <c r="CI98" s="222"/>
      <c r="CJ98" s="222"/>
      <c r="CK98" s="222"/>
      <c r="CL98" s="222"/>
      <c r="CM98" s="222"/>
      <c r="CN98" s="222"/>
      <c r="CO98" s="222"/>
      <c r="CP98" s="222"/>
      <c r="CQ98" s="222"/>
      <c r="CR98" s="222"/>
      <c r="CS98" s="222"/>
      <c r="CT98" s="222"/>
      <c r="CU98" s="222"/>
      <c r="CV98" s="222"/>
      <c r="CW98" s="222"/>
      <c r="CX98" s="222"/>
      <c r="CY98" s="222"/>
      <c r="CZ98" s="222"/>
      <c r="DA98" s="222"/>
      <c r="DB98" s="222"/>
      <c r="DC98" s="222"/>
      <c r="DD98" s="222"/>
      <c r="DE98" s="222"/>
      <c r="DF98" s="222"/>
      <c r="DG98" s="222"/>
      <c r="DH98" s="222"/>
      <c r="DI98" s="222"/>
      <c r="DJ98" s="222"/>
      <c r="DK98" s="222"/>
      <c r="DL98" s="222"/>
      <c r="DM98" s="222"/>
    </row>
    <row r="99" spans="1:117" s="406" customFormat="1" ht="15" customHeight="1" x14ac:dyDescent="0.25">
      <c r="B99" s="748">
        <v>42737</v>
      </c>
      <c r="C99" s="218" t="s">
        <v>420</v>
      </c>
      <c r="D99" s="218" t="s">
        <v>424</v>
      </c>
      <c r="E99" s="218" t="s">
        <v>378</v>
      </c>
      <c r="F99" s="218" t="s">
        <v>309</v>
      </c>
      <c r="G99" s="218" t="s">
        <v>323</v>
      </c>
      <c r="H99" s="218"/>
      <c r="I99" s="126"/>
      <c r="J99" s="126"/>
      <c r="K99" s="126"/>
      <c r="L99" s="126"/>
      <c r="M99" s="126"/>
      <c r="N99" s="126"/>
      <c r="O99" s="126"/>
      <c r="P99" s="126"/>
      <c r="Q99" s="126"/>
      <c r="R99" s="126"/>
      <c r="S99" s="126"/>
      <c r="T99" s="126"/>
      <c r="U99" s="126"/>
      <c r="V99" s="126"/>
      <c r="W99" s="408"/>
      <c r="X99" s="408"/>
      <c r="Y99" s="126"/>
      <c r="Z99" s="126">
        <v>17</v>
      </c>
      <c r="AA99" s="128" t="e">
        <f>IF(NFI_Expiration=1,IF(#REF!&lt;VLOOKUP(J$5,NFI,5,0),1,0)*Table_NFI[[#This Row],[NFI Core Kit]],Table_NFI[NFI Core Kit])</f>
        <v>#REF!</v>
      </c>
      <c r="AB99" s="128" t="e">
        <f>IF(NFI_Expiration=1,IF(#REF!&lt;VLOOKUP(K$5,NFI,5,0),1,0)*Table_NFI[[#This Row],[Sanitary Kit]],Table_NFI[Sanitary Kit])</f>
        <v>#REF!</v>
      </c>
      <c r="AC99" s="128" t="e">
        <f>IF(NFI_Expiration=1,IF(#REF!&lt;VLOOKUP(L$5,NFI,5,0),1,0)*Table_NFI[[#This Row],[Mosquito net]],Table_NFI[Mosquito net])</f>
        <v>#REF!</v>
      </c>
      <c r="AD99" s="128" t="e">
        <f>IF(NFI_Expiration=1,IF(#REF!&lt;VLOOKUP(M$5,NFI,5,0),1,0)*Table_NFI[[#This Row],[Tarpaulin]],Table_NFI[[#This Row],[Tarpaulin]])</f>
        <v>#REF!</v>
      </c>
      <c r="AE99" s="128" t="e">
        <f>IF(NFI_Expiration=1,IF(#REF!&lt;VLOOKUP(N$5,NFI,5,0),1,0)*Table_NFI[[#This Row],[Blanket]],Table_NFI[[#This Row],[Blanket]])</f>
        <v>#REF!</v>
      </c>
      <c r="AF99" s="128" t="e">
        <f>IF(NFI_Expiration=1,IF(#REF!&lt;VLOOKUP(O$5,NFI,5,0),1,0)*Table_NFI[[#This Row],[Kitchen Set]],Table_NFI[Kitchen Set])</f>
        <v>#REF!</v>
      </c>
      <c r="AG99" s="128" t="e">
        <f>IF(NFI_Expiration=1,IF(#REF!&lt;VLOOKUP(P$5,NFI,5,0),1,0)*Table_NFI[[#This Row],[Clothes Kit]],Table_NFI[Clothes Kit])</f>
        <v>#REF!</v>
      </c>
      <c r="AH99" s="128" t="e">
        <f>IF(NFI_Expiration=1,IF(#REF!&lt;VLOOKUP(Q$5,NFI,5,0),1,0)*Table_NFI[[#This Row],[Plastic Bucket]],Table_NFI[Plastic Bucket])</f>
        <v>#REF!</v>
      </c>
      <c r="AI99" s="128" t="e">
        <f>IF(NFI_Expiration=1,IF(#REF!&lt;VLOOKUP(R$5,NFI,5,0),1,0)*Table_NFI[[#This Row],[Plastic Mat]],Table_NFI[Plastic Mat])*IF(Table_NFI[[#This Row],[Distribution Date]]&gt;"2014-04-01",1,2.5)</f>
        <v>#REF!</v>
      </c>
      <c r="AJ99" s="128" t="e">
        <f>IF(NFI_Expiration=1,IF(#REF!&lt;VLOOKUP(S$5,NFI,5,0),1,0)*Table_NFI[[#This Row],[Winter Clothes Adult]],Table_NFI[Winter Clothes Adult])</f>
        <v>#REF!</v>
      </c>
      <c r="AK99" s="128" t="e">
        <f>IF(NFI_Expiration=1,IF(#REF!&lt;VLOOKUP(T$5,NFI,5,0),1,0)*Table_NFI[[#This Row],[Winter Clothes Children]],Table_NFI[Winter Clothes Children])</f>
        <v>#REF!</v>
      </c>
      <c r="AL99" s="128" t="e">
        <f>IF(NFI_Expiration=1,IF(#REF!&lt;VLOOKUP(U$5,NFI,5,0),1,0)*Table_NFI[[#This Row],[Winter Items Other]],Table_NFI[Winter Items Other])</f>
        <v>#REF!</v>
      </c>
      <c r="AM99" s="128" t="e">
        <f>IF(NFI_Expiration=1,IF(#REF!&lt;VLOOKUP(N$5,NFI,5,0),1,0)*Table_NFI[[#This Row],[Winter Blanket]],Table_NFI[[#This Row],[Winter Blanket]])</f>
        <v>#REF!</v>
      </c>
      <c r="AN99" s="128">
        <f>IF(Table_NFI[[#This Row],[Winter Clothes Adult]]+Table_NFI[[#This Row],[Winter Clothes Children]]+Table_NFI[[#This Row],[Winter Items Other]]+Table_NFI[[#This Row],[Winter Blanket]]&gt;0,1,0)</f>
        <v>0</v>
      </c>
      <c r="AO99" s="146" t="e">
        <f>IF(NFI_Expiration=1,IF(#REF!&lt;VLOOKUP(W$5,NFI,5,0),1,0)*Table_NFI[[#This Row],[Jerry Can]],Table_NFI[Jerry Can])</f>
        <v>#REF!</v>
      </c>
      <c r="AP99" s="146" t="e">
        <f>IF(NFI_Expiration=1,IF(#REF!&lt;VLOOKUP(W$5,NFI,5,0),1,0)*Table_NFI[[#This Row],[Shelter Tool kit]],Table_NFI[Shelter Tool kit])</f>
        <v>#REF!</v>
      </c>
      <c r="AQ99" s="146" t="e">
        <f>IF(NFI_Expiration=1,IF(#REF!&lt;VLOOKUP(W$5,NFI,5,0),1,0)*Table_NFI[[#This Row],[Tent]],Table_NFI[Tent])</f>
        <v>#REF!</v>
      </c>
      <c r="AR99" s="220" t="str">
        <f>IFERROR(VLOOKUP(Table_NFI[[#This Row],[Location]],CL,2,0),"")</f>
        <v>MMR001CMP040</v>
      </c>
      <c r="AS99" s="221" t="s">
        <v>1271</v>
      </c>
      <c r="AT99" s="224"/>
      <c r="AU99" s="224"/>
      <c r="AV99" s="224"/>
      <c r="AW99" s="224"/>
      <c r="AX99" s="224"/>
      <c r="AY99" s="224"/>
      <c r="AZ99" s="224"/>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row>
  </sheetData>
  <mergeCells count="11">
    <mergeCell ref="AC2:AK2"/>
    <mergeCell ref="AL2:AS2"/>
    <mergeCell ref="K3:S3"/>
    <mergeCell ref="T3:AB3"/>
    <mergeCell ref="AC3:AK3"/>
    <mergeCell ref="AL3:AS3"/>
    <mergeCell ref="B4:D4"/>
    <mergeCell ref="B2:J2"/>
    <mergeCell ref="B3:J3"/>
    <mergeCell ref="K2:S2"/>
    <mergeCell ref="T2:AB2"/>
  </mergeCells>
  <conditionalFormatting sqref="AR38:AR99">
    <cfRule type="containsText" dxfId="412" priority="62" operator="containsText" text="close">
      <formula>NOT(ISERROR(SEARCH("close",AR38)))</formula>
    </cfRule>
    <cfRule type="containsText" dxfId="411" priority="63" operator="containsText" text="open">
      <formula>NOT(ISERROR(SEARCH("open",AR38)))</formula>
    </cfRule>
  </conditionalFormatting>
  <dataValidations count="3">
    <dataValidation type="list" allowBlank="1" showInputMessage="1" showErrorMessage="1" sqref="E24:E99">
      <formula1>State</formula1>
    </dataValidation>
    <dataValidation type="list" allowBlank="1" showInputMessage="1" showErrorMessage="1" sqref="G24:H99 H22:H23 G17:G22">
      <formula1>OFFSET(TCL_T1,MATCH(F17,TCL_T,0)-1,1,COUNTIF(TCL_T,F17),1)</formula1>
    </dataValidation>
    <dataValidation type="list" showInputMessage="1" showErrorMessage="1" sqref="F24:F99">
      <formula1>INDIRECT(E24)</formula1>
    </dataValidation>
  </dataValidations>
  <printOptions gridLines="1"/>
  <pageMargins left="0.25" right="0.25" top="0.75" bottom="0.75" header="0.3" footer="0.3"/>
  <pageSetup paperSize="9" scale="70"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[2]data!#REF!</xm:f>
          </x14:formula1>
          <xm:sqref>C22:E23</xm:sqref>
        </x14:dataValidation>
        <x14:dataValidation type="list" allowBlank="1" showInputMessage="1" showErrorMessage="1">
          <x14:formula1>
            <xm:f>OFFSET([2]data!#REF!,MATCH(F23,[2]data!#REF!,0)-1,0,COUNTIF([2]data!#REF!,F23),1)</xm:f>
          </x14:formula1>
          <xm:sqref>G23</xm:sqref>
        </x14:dataValidation>
        <x14:dataValidation type="list" allowBlank="1" showInputMessage="1" showErrorMessage="1">
          <x14:formula1>
            <xm:f>OFFSET([2]data!#REF!,MATCH(E23,[2]data!#REF!,0)-1,0,COUNTIF([2]data!#REF!,E23),1)</xm:f>
          </x14:formula1>
          <xm:sqref>F23</xm:sqref>
        </x14:dataValidation>
        <x14:dataValidation type="list" allowBlank="1" showInputMessage="1" showErrorMessage="1">
          <x14:formula1>
            <xm:f>OFFSET([2]data!#REF!,MATCH(E24,[2]data!#REF!,0)-1,0,COUNTIF([2]data!#REF!,E24),1)</xm:f>
          </x14:formula1>
          <xm:sqref>F22</xm:sqref>
        </x14:dataValidation>
        <x14:dataValidation type="list" allowBlank="1" showInputMessage="1" showErrorMessage="1">
          <x14:formula1>
            <xm:f>[3]data!#REF!</xm:f>
          </x14:formula1>
          <xm:sqref>C17:E21</xm:sqref>
        </x14:dataValidation>
        <x14:dataValidation type="list" allowBlank="1" showInputMessage="1" showErrorMessage="1">
          <x14:formula1>
            <xm:f>OFFSET([3]data!#REF!,MATCH(E17,[3]data!#REF!,0)-1,0,COUNTIF([3]data!#REF!,E17),1)</xm:f>
          </x14:formula1>
          <xm:sqref>F17</xm:sqref>
        </x14:dataValidation>
        <x14:dataValidation type="list" allowBlank="1" showInputMessage="1" showErrorMessage="1">
          <x14:formula1>
            <xm:f>OFFSET([3]data!#REF!,MATCH(E20,[3]data!#REF!,0)-1,0,COUNTIF([3]data!#REF!,E20),1)</xm:f>
          </x14:formula1>
          <xm:sqref>F18:F21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43"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50"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45" customFormat="1" ht="30" x14ac:dyDescent="0.25">
      <c r="A1" s="134" t="s">
        <v>512</v>
      </c>
      <c r="B1" s="135" t="s">
        <v>933</v>
      </c>
      <c r="C1" s="135" t="s">
        <v>508</v>
      </c>
      <c r="D1" s="135" t="s">
        <v>0</v>
      </c>
      <c r="E1" s="135" t="s">
        <v>2</v>
      </c>
      <c r="F1" s="135" t="s">
        <v>934</v>
      </c>
      <c r="G1" s="135" t="s">
        <v>866</v>
      </c>
      <c r="H1" s="135" t="s">
        <v>867</v>
      </c>
      <c r="I1" s="135" t="s">
        <v>868</v>
      </c>
      <c r="J1" s="135" t="s">
        <v>935</v>
      </c>
      <c r="K1" s="135" t="s">
        <v>937</v>
      </c>
      <c r="L1" s="135" t="s">
        <v>936</v>
      </c>
      <c r="M1" s="136" t="s">
        <v>944</v>
      </c>
      <c r="N1" s="137" t="s">
        <v>941</v>
      </c>
      <c r="Q1" s="45">
        <f>SUM(N:N)</f>
        <v>0</v>
      </c>
      <c r="R1" s="45">
        <f>COUNTA(A:A)-1</f>
        <v>167</v>
      </c>
    </row>
    <row r="2" spans="1:20" x14ac:dyDescent="0.25">
      <c r="A2" s="110"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108</v>
      </c>
      <c r="F2" s="7">
        <f ca="1">OFFSET(CampList[Total],MATCH(Table10[[#This Row],[Pcode]],CampList[CP_Pcode],0)-1,0,1,1)</f>
        <v>516</v>
      </c>
      <c r="G2" s="116">
        <f>SUMIF('NFI Distributions'!AS$38:AS$1048576,Table10[[#This Row],[Pcode]],'NFI Distributions'!AK$38:AK$1048576)</f>
        <v>0</v>
      </c>
      <c r="H2" s="116">
        <f>SUMIF('NFI Distributions'!AS$38:AS$1048576,Table10[[#This Row],[Pcode]],'NFI Distributions'!AL$38:AL$1048576)</f>
        <v>0</v>
      </c>
      <c r="I2" s="116">
        <f>SUMIF('NFI Distributions'!AS$38:AS$1048576,Table10[[#This Row],[Pcode]],'NFI Distributions'!AM$38:AM$1048576)</f>
        <v>0</v>
      </c>
      <c r="J2" s="116">
        <f ca="1">MAX(Table10[[#This Row],[HH]]*VLOOKUP("Winter Clothes Adult",NFI,6)-Table10[[#This Row],[Winter Clothes Adult ]],0)</f>
        <v>216</v>
      </c>
      <c r="K2" s="116">
        <f ca="1">MAX(Table10[[#This Row],[HH]]*VLOOKUP("Winter Clothes Children ",NFI,6)-Table10[[#This Row],[Winter Clothes Children ]],0)</f>
        <v>108</v>
      </c>
      <c r="L2" s="116">
        <f ca="1">MAX(Table10[[#This Row],[HH]]*VLOOKUP("Winter Items Other ",NFI,6)-Table10[[#This Row],[Winter Items Other ]],0)</f>
        <v>108</v>
      </c>
      <c r="M2" s="129" t="str">
        <f>IF(OR(Table10[[#This Row],[Winter Clothes Adult ]]&lt;&gt;0,Table10[[#This Row],[Winter Clothes Children ]]&lt;&gt;0,Table10[[#This Row],[Winter Items Other ]]&lt;&gt;0),"No","")</f>
        <v/>
      </c>
      <c r="N2" s="130">
        <f>COUNTIF(A:A,Table10[[#This Row],[Pcode]])-1</f>
        <v>0</v>
      </c>
    </row>
    <row r="3" spans="1:20" x14ac:dyDescent="0.25">
      <c r="A3" s="110"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16">
        <f>SUMIF('NFI Distributions'!AS$38:AS$1048576,Table10[[#This Row],[Pcode]],'NFI Distributions'!AK$38:AK$1048576)</f>
        <v>0</v>
      </c>
      <c r="H3" s="116">
        <f>SUMIF('NFI Distributions'!AS$38:AS$1048576,Table10[[#This Row],[Pcode]],'NFI Distributions'!AL$38:AL$1048576)</f>
        <v>0</v>
      </c>
      <c r="I3" s="116">
        <f>SUMIF('NFI Distributions'!AS$38:AS$1048576,Table10[[#This Row],[Pcode]],'NFI Distributions'!AM$38:AM$1048576)</f>
        <v>0</v>
      </c>
      <c r="J3" s="116">
        <f ca="1">MAX(Table10[[#This Row],[HH]]*VLOOKUP("Winter Clothes Adult",NFI,6)-Table10[[#This Row],[Winter Clothes Adult ]],0)</f>
        <v>0</v>
      </c>
      <c r="K3" s="116">
        <f ca="1">MAX(Table10[[#This Row],[HH]]*VLOOKUP("Winter Clothes Children ",NFI,6)-Table10[[#This Row],[Winter Clothes Children ]],0)</f>
        <v>0</v>
      </c>
      <c r="L3" s="116">
        <f ca="1">MAX(Table10[[#This Row],[HH]]*VLOOKUP("Winter Items Other ",NFI,6)-Table10[[#This Row],[Winter Items Other ]],0)</f>
        <v>0</v>
      </c>
      <c r="M3" s="129" t="str">
        <f>IF(OR(Table10[[#This Row],[Winter Clothes Adult ]]&lt;&gt;0,Table10[[#This Row],[Winter Clothes Children ]]&lt;&gt;0,Table10[[#This Row],[Winter Items Other ]]&lt;&gt;0),"No","")</f>
        <v/>
      </c>
      <c r="N3" s="130">
        <f>COUNTIF(A:A,Table10[[#This Row],[Pcode]])-1</f>
        <v>0</v>
      </c>
    </row>
    <row r="4" spans="1:20" x14ac:dyDescent="0.25">
      <c r="A4" s="110"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158</v>
      </c>
      <c r="F4" s="7">
        <f ca="1">OFFSET(CampList[Total],MATCH(Table10[[#This Row],[Pcode]],CampList[CP_Pcode],0)-1,0,1,1)</f>
        <v>981</v>
      </c>
      <c r="G4" s="116">
        <f>SUMIF('NFI Distributions'!AS$38:AS$1048576,Table10[[#This Row],[Pcode]],'NFI Distributions'!AK$38:AK$1048576)</f>
        <v>0</v>
      </c>
      <c r="H4" s="116">
        <f>SUMIF('NFI Distributions'!AS$38:AS$1048576,Table10[[#This Row],[Pcode]],'NFI Distributions'!AL$38:AL$1048576)</f>
        <v>0</v>
      </c>
      <c r="I4" s="116">
        <f>SUMIF('NFI Distributions'!AS$38:AS$1048576,Table10[[#This Row],[Pcode]],'NFI Distributions'!AM$38:AM$1048576)</f>
        <v>0</v>
      </c>
      <c r="J4" s="116">
        <f ca="1">MAX(Table10[[#This Row],[HH]]*VLOOKUP("Winter Clothes Adult",NFI,6)-Table10[[#This Row],[Winter Clothes Adult ]],0)</f>
        <v>316</v>
      </c>
      <c r="K4" s="116">
        <f ca="1">MAX(Table10[[#This Row],[HH]]*VLOOKUP("Winter Clothes Children ",NFI,6)-Table10[[#This Row],[Winter Clothes Children ]],0)</f>
        <v>158</v>
      </c>
      <c r="L4" s="116">
        <f ca="1">MAX(Table10[[#This Row],[HH]]*VLOOKUP("Winter Items Other ",NFI,6)-Table10[[#This Row],[Winter Items Other ]],0)</f>
        <v>158</v>
      </c>
      <c r="M4" s="129" t="str">
        <f>IF(OR(Table10[[#This Row],[Winter Clothes Adult ]]&lt;&gt;0,Table10[[#This Row],[Winter Clothes Children ]]&lt;&gt;0,Table10[[#This Row],[Winter Items Other ]]&lt;&gt;0),"No","")</f>
        <v/>
      </c>
      <c r="N4" s="130">
        <f>COUNTIF(A:A,Table10[[#This Row],[Pcode]])-1</f>
        <v>0</v>
      </c>
    </row>
    <row r="5" spans="1:20" x14ac:dyDescent="0.25">
      <c r="A5" s="110"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16">
        <f>SUMIF('NFI Distributions'!AS$38:AS$1048576,Table10[[#This Row],[Pcode]],'NFI Distributions'!AK$38:AK$1048576)</f>
        <v>0</v>
      </c>
      <c r="H5" s="116">
        <f>SUMIF('NFI Distributions'!AS$38:AS$1048576,Table10[[#This Row],[Pcode]],'NFI Distributions'!AL$38:AL$1048576)</f>
        <v>0</v>
      </c>
      <c r="I5" s="116">
        <f>SUMIF('NFI Distributions'!AS$38:AS$1048576,Table10[[#This Row],[Pcode]],'NFI Distributions'!AM$38:AM$1048576)</f>
        <v>0</v>
      </c>
      <c r="J5" s="116">
        <f ca="1">MAX(Table10[[#This Row],[HH]]*VLOOKUP("Winter Clothes Adult",NFI,6)-Table10[[#This Row],[Winter Clothes Adult ]],0)</f>
        <v>0</v>
      </c>
      <c r="K5" s="116">
        <f ca="1">MAX(Table10[[#This Row],[HH]]*VLOOKUP("Winter Clothes Children ",NFI,6)-Table10[[#This Row],[Winter Clothes Children ]],0)</f>
        <v>0</v>
      </c>
      <c r="L5" s="116">
        <f ca="1">MAX(Table10[[#This Row],[HH]]*VLOOKUP("Winter Items Other ",NFI,6)-Table10[[#This Row],[Winter Items Other ]],0)</f>
        <v>0</v>
      </c>
      <c r="M5" s="129" t="str">
        <f>IF(OR(Table10[[#This Row],[Winter Clothes Adult ]]&lt;&gt;0,Table10[[#This Row],[Winter Clothes Children ]]&lt;&gt;0,Table10[[#This Row],[Winter Items Other ]]&lt;&gt;0),"No","")</f>
        <v/>
      </c>
      <c r="N5" s="130">
        <f>COUNTIF(A:A,Table10[[#This Row],[Pcode]])-1</f>
        <v>0</v>
      </c>
    </row>
    <row r="6" spans="1:20" x14ac:dyDescent="0.25">
      <c r="A6" s="110"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144</v>
      </c>
      <c r="F6" s="7">
        <f ca="1">OFFSET(CampList[Total],MATCH(Table10[[#This Row],[Pcode]],CampList[CP_Pcode],0)-1,0,1,1)</f>
        <v>630</v>
      </c>
      <c r="G6" s="116">
        <f>SUMIF('NFI Distributions'!AS$38:AS$1048576,Table10[[#This Row],[Pcode]],'NFI Distributions'!AK$38:AK$1048576)</f>
        <v>0</v>
      </c>
      <c r="H6" s="116">
        <f>SUMIF('NFI Distributions'!AS$38:AS$1048576,Table10[[#This Row],[Pcode]],'NFI Distributions'!AL$38:AL$1048576)</f>
        <v>0</v>
      </c>
      <c r="I6" s="116">
        <f>SUMIF('NFI Distributions'!AS$38:AS$1048576,Table10[[#This Row],[Pcode]],'NFI Distributions'!AM$38:AM$1048576)</f>
        <v>0</v>
      </c>
      <c r="J6" s="116">
        <f ca="1">MAX(Table10[[#This Row],[HH]]*VLOOKUP("Winter Clothes Adult",NFI,6)-Table10[[#This Row],[Winter Clothes Adult ]],0)</f>
        <v>288</v>
      </c>
      <c r="K6" s="116">
        <f ca="1">MAX(Table10[[#This Row],[HH]]*VLOOKUP("Winter Clothes Children ",NFI,6)-Table10[[#This Row],[Winter Clothes Children ]],0)</f>
        <v>144</v>
      </c>
      <c r="L6" s="116">
        <f ca="1">MAX(Table10[[#This Row],[HH]]*VLOOKUP("Winter Items Other ",NFI,6)-Table10[[#This Row],[Winter Items Other ]],0)</f>
        <v>144</v>
      </c>
      <c r="M6" s="129" t="str">
        <f>IF(OR(Table10[[#This Row],[Winter Clothes Adult ]]&lt;&gt;0,Table10[[#This Row],[Winter Clothes Children ]]&lt;&gt;0,Table10[[#This Row],[Winter Items Other ]]&lt;&gt;0),"No","")</f>
        <v/>
      </c>
      <c r="N6" s="130">
        <f>COUNTIF(A:A,Table10[[#This Row],[Pcode]])-1</f>
        <v>0</v>
      </c>
    </row>
    <row r="7" spans="1:20" x14ac:dyDescent="0.25">
      <c r="A7" s="110" t="s">
        <v>880</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173</v>
      </c>
      <c r="G7" s="116">
        <f>SUMIF('NFI Distributions'!AS$38:AS$1048576,Table10[[#This Row],[Pcode]],'NFI Distributions'!AK$38:AK$1048576)</f>
        <v>0</v>
      </c>
      <c r="H7" s="116">
        <f>SUMIF('NFI Distributions'!AS$38:AS$1048576,Table10[[#This Row],[Pcode]],'NFI Distributions'!AL$38:AL$1048576)</f>
        <v>0</v>
      </c>
      <c r="I7" s="116">
        <f>SUMIF('NFI Distributions'!AS$38:AS$1048576,Table10[[#This Row],[Pcode]],'NFI Distributions'!AM$38:AM$1048576)</f>
        <v>0</v>
      </c>
      <c r="J7" s="116">
        <f ca="1">MAX(Table10[[#This Row],[HH]]*VLOOKUP("Winter Clothes Adult",NFI,6)-Table10[[#This Row],[Winter Clothes Adult ]],0)</f>
        <v>60</v>
      </c>
      <c r="K7" s="116">
        <f ca="1">MAX(Table10[[#This Row],[HH]]*VLOOKUP("Winter Clothes Children ",NFI,6)-Table10[[#This Row],[Winter Clothes Children ]],0)</f>
        <v>30</v>
      </c>
      <c r="L7" s="116">
        <f ca="1">MAX(Table10[[#This Row],[HH]]*VLOOKUP("Winter Items Other ",NFI,6)-Table10[[#This Row],[Winter Items Other ]],0)</f>
        <v>30</v>
      </c>
      <c r="M7" s="129" t="str">
        <f>IF(OR(Table10[[#This Row],[Winter Clothes Adult ]]&lt;&gt;0,Table10[[#This Row],[Winter Clothes Children ]]&lt;&gt;0,Table10[[#This Row],[Winter Items Other ]]&lt;&gt;0),"No","")</f>
        <v/>
      </c>
      <c r="N7" s="130">
        <f>COUNTIF(A:A,Table10[[#This Row],[Pcode]])-1</f>
        <v>0</v>
      </c>
    </row>
    <row r="8" spans="1:20" x14ac:dyDescent="0.25">
      <c r="A8" s="110" t="s">
        <v>791</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269</v>
      </c>
      <c r="G8" s="116">
        <f>SUMIF('NFI Distributions'!AS$38:AS$1048576,Table10[[#This Row],[Pcode]],'NFI Distributions'!AK$38:AK$1048576)</f>
        <v>0</v>
      </c>
      <c r="H8" s="116">
        <f>SUMIF('NFI Distributions'!AS$38:AS$1048576,Table10[[#This Row],[Pcode]],'NFI Distributions'!AL$38:AL$1048576)</f>
        <v>0</v>
      </c>
      <c r="I8" s="116">
        <f>SUMIF('NFI Distributions'!AS$38:AS$1048576,Table10[[#This Row],[Pcode]],'NFI Distributions'!AM$38:AM$1048576)</f>
        <v>0</v>
      </c>
      <c r="J8" s="116">
        <f ca="1">MAX(Table10[[#This Row],[HH]]*VLOOKUP("Winter Clothes Adult",NFI,6)-Table10[[#This Row],[Winter Clothes Adult ]],0)</f>
        <v>114</v>
      </c>
      <c r="K8" s="116">
        <f ca="1">MAX(Table10[[#This Row],[HH]]*VLOOKUP("Winter Clothes Children ",NFI,6)-Table10[[#This Row],[Winter Clothes Children ]],0)</f>
        <v>57</v>
      </c>
      <c r="L8" s="116">
        <f ca="1">MAX(Table10[[#This Row],[HH]]*VLOOKUP("Winter Items Other ",NFI,6)-Table10[[#This Row],[Winter Items Other ]],0)</f>
        <v>57</v>
      </c>
      <c r="M8" s="129" t="str">
        <f>IF(OR(Table10[[#This Row],[Winter Clothes Adult ]]&lt;&gt;0,Table10[[#This Row],[Winter Clothes Children ]]&lt;&gt;0,Table10[[#This Row],[Winter Items Other ]]&lt;&gt;0),"No","")</f>
        <v/>
      </c>
      <c r="N8" s="130">
        <f>COUNTIF(A:A,Table10[[#This Row],[Pcode]])-1</f>
        <v>0</v>
      </c>
    </row>
    <row r="9" spans="1:20" x14ac:dyDescent="0.25">
      <c r="A9" s="110"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149</v>
      </c>
      <c r="F9" s="7">
        <f ca="1">OFFSET(CampList[Total],MATCH(Table10[[#This Row],[Pcode]],CampList[CP_Pcode],0)-1,0,1,1)</f>
        <v>908</v>
      </c>
      <c r="G9" s="116">
        <f>SUMIF('NFI Distributions'!AS$38:AS$1048576,Table10[[#This Row],[Pcode]],'NFI Distributions'!AK$38:AK$1048576)</f>
        <v>0</v>
      </c>
      <c r="H9" s="116">
        <f>SUMIF('NFI Distributions'!AS$38:AS$1048576,Table10[[#This Row],[Pcode]],'NFI Distributions'!AL$38:AL$1048576)</f>
        <v>0</v>
      </c>
      <c r="I9" s="116">
        <f>SUMIF('NFI Distributions'!AS$38:AS$1048576,Table10[[#This Row],[Pcode]],'NFI Distributions'!AM$38:AM$1048576)</f>
        <v>0</v>
      </c>
      <c r="J9" s="116">
        <f ca="1">MAX(Table10[[#This Row],[HH]]*VLOOKUP("Winter Clothes Adult",NFI,6)-Table10[[#This Row],[Winter Clothes Adult ]],0)</f>
        <v>298</v>
      </c>
      <c r="K9" s="116">
        <f ca="1">MAX(Table10[[#This Row],[HH]]*VLOOKUP("Winter Clothes Children ",NFI,6)-Table10[[#This Row],[Winter Clothes Children ]],0)</f>
        <v>149</v>
      </c>
      <c r="L9" s="116">
        <f ca="1">MAX(Table10[[#This Row],[HH]]*VLOOKUP("Winter Items Other ",NFI,6)-Table10[[#This Row],[Winter Items Other ]],0)</f>
        <v>149</v>
      </c>
      <c r="M9" s="129" t="str">
        <f>IF(OR(Table10[[#This Row],[Winter Clothes Adult ]]&lt;&gt;0,Table10[[#This Row],[Winter Clothes Children ]]&lt;&gt;0,Table10[[#This Row],[Winter Items Other ]]&lt;&gt;0),"No","")</f>
        <v/>
      </c>
      <c r="N9" s="130">
        <f>COUNTIF(A:A,Table10[[#This Row],[Pcode]])-1</f>
        <v>0</v>
      </c>
    </row>
    <row r="10" spans="1:20" x14ac:dyDescent="0.25">
      <c r="A10" s="110"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186</v>
      </c>
      <c r="F10" s="7">
        <f ca="1">OFFSET(CampList[Total],MATCH(Table10[[#This Row],[Pcode]],CampList[CP_Pcode],0)-1,0,1,1)</f>
        <v>858</v>
      </c>
      <c r="G10" s="116">
        <f>SUMIF('NFI Distributions'!AS$38:AS$1048576,Table10[[#This Row],[Pcode]],'NFI Distributions'!AK$38:AK$1048576)</f>
        <v>0</v>
      </c>
      <c r="H10" s="116">
        <f>SUMIF('NFI Distributions'!AS$38:AS$1048576,Table10[[#This Row],[Pcode]],'NFI Distributions'!AL$38:AL$1048576)</f>
        <v>0</v>
      </c>
      <c r="I10" s="116">
        <f>SUMIF('NFI Distributions'!AS$38:AS$1048576,Table10[[#This Row],[Pcode]],'NFI Distributions'!AM$38:AM$1048576)</f>
        <v>0</v>
      </c>
      <c r="J10" s="116">
        <f ca="1">MAX(Table10[[#This Row],[HH]]*VLOOKUP("Winter Clothes Adult",NFI,6)-Table10[[#This Row],[Winter Clothes Adult ]],0)</f>
        <v>372</v>
      </c>
      <c r="K10" s="116">
        <f ca="1">MAX(Table10[[#This Row],[HH]]*VLOOKUP("Winter Clothes Children ",NFI,6)-Table10[[#This Row],[Winter Clothes Children ]],0)</f>
        <v>186</v>
      </c>
      <c r="L10" s="116">
        <f ca="1">MAX(Table10[[#This Row],[HH]]*VLOOKUP("Winter Items Other ",NFI,6)-Table10[[#This Row],[Winter Items Other ]],0)</f>
        <v>186</v>
      </c>
      <c r="M10" s="129" t="str">
        <f>IF(OR(Table10[[#This Row],[Winter Clothes Adult ]]&lt;&gt;0,Table10[[#This Row],[Winter Clothes Children ]]&lt;&gt;0,Table10[[#This Row],[Winter Items Other ]]&lt;&gt;0),"No","")</f>
        <v/>
      </c>
      <c r="N10" s="130">
        <f>COUNTIF(A:A,Table10[[#This Row],[Pcode]])-1</f>
        <v>0</v>
      </c>
    </row>
    <row r="11" spans="1:20" x14ac:dyDescent="0.25">
      <c r="A11" s="110"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88</v>
      </c>
      <c r="F11" s="7">
        <f ca="1">OFFSET(CampList[Total],MATCH(Table10[[#This Row],[Pcode]],CampList[CP_Pcode],0)-1,0,1,1)</f>
        <v>545</v>
      </c>
      <c r="G11" s="116">
        <f>SUMIF('NFI Distributions'!AS$38:AS$1048576,Table10[[#This Row],[Pcode]],'NFI Distributions'!AK$38:AK$1048576)</f>
        <v>0</v>
      </c>
      <c r="H11" s="116">
        <f>SUMIF('NFI Distributions'!AS$38:AS$1048576,Table10[[#This Row],[Pcode]],'NFI Distributions'!AL$38:AL$1048576)</f>
        <v>0</v>
      </c>
      <c r="I11" s="116">
        <f>SUMIF('NFI Distributions'!AS$38:AS$1048576,Table10[[#This Row],[Pcode]],'NFI Distributions'!AM$38:AM$1048576)</f>
        <v>0</v>
      </c>
      <c r="J11" s="116">
        <f ca="1">MAX(Table10[[#This Row],[HH]]*VLOOKUP("Winter Clothes Adult",NFI,6)-Table10[[#This Row],[Winter Clothes Adult ]],0)</f>
        <v>176</v>
      </c>
      <c r="K11" s="116">
        <f ca="1">MAX(Table10[[#This Row],[HH]]*VLOOKUP("Winter Clothes Children ",NFI,6)-Table10[[#This Row],[Winter Clothes Children ]],0)</f>
        <v>88</v>
      </c>
      <c r="L11" s="116">
        <f ca="1">MAX(Table10[[#This Row],[HH]]*VLOOKUP("Winter Items Other ",NFI,6)-Table10[[#This Row],[Winter Items Other ]],0)</f>
        <v>88</v>
      </c>
      <c r="M11" s="129" t="str">
        <f>IF(OR(Table10[[#This Row],[Winter Clothes Adult ]]&lt;&gt;0,Table10[[#This Row],[Winter Clothes Children ]]&lt;&gt;0,Table10[[#This Row],[Winter Items Other ]]&lt;&gt;0),"No","")</f>
        <v/>
      </c>
      <c r="N11" s="130">
        <f>COUNTIF(A:A,Table10[[#This Row],[Pcode]])-1</f>
        <v>0</v>
      </c>
    </row>
    <row r="12" spans="1:20" x14ac:dyDescent="0.25">
      <c r="A12" s="110"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132</v>
      </c>
      <c r="F12" s="7">
        <f ca="1">OFFSET(CampList[Total],MATCH(Table10[[#This Row],[Pcode]],CampList[CP_Pcode],0)-1,0,1,1)</f>
        <v>522</v>
      </c>
      <c r="G12" s="116">
        <f>SUMIF('NFI Distributions'!AS$38:AS$1048576,Table10[[#This Row],[Pcode]],'NFI Distributions'!AK$38:AK$1048576)</f>
        <v>0</v>
      </c>
      <c r="H12" s="116">
        <f>SUMIF('NFI Distributions'!AS$38:AS$1048576,Table10[[#This Row],[Pcode]],'NFI Distributions'!AL$38:AL$1048576)</f>
        <v>0</v>
      </c>
      <c r="I12" s="116">
        <f>SUMIF('NFI Distributions'!AS$38:AS$1048576,Table10[[#This Row],[Pcode]],'NFI Distributions'!AM$38:AM$1048576)</f>
        <v>0</v>
      </c>
      <c r="J12" s="116">
        <f ca="1">MAX(Table10[[#This Row],[HH]]*VLOOKUP("Winter Clothes Adult",NFI,6)-Table10[[#This Row],[Winter Clothes Adult ]],0)</f>
        <v>264</v>
      </c>
      <c r="K12" s="116">
        <f ca="1">MAX(Table10[[#This Row],[HH]]*VLOOKUP("Winter Clothes Children ",NFI,6)-Table10[[#This Row],[Winter Clothes Children ]],0)</f>
        <v>132</v>
      </c>
      <c r="L12" s="116">
        <f ca="1">MAX(Table10[[#This Row],[HH]]*VLOOKUP("Winter Items Other ",NFI,6)-Table10[[#This Row],[Winter Items Other ]],0)</f>
        <v>132</v>
      </c>
      <c r="M12" s="129" t="str">
        <f>IF(OR(Table10[[#This Row],[Winter Clothes Adult ]]&lt;&gt;0,Table10[[#This Row],[Winter Clothes Children ]]&lt;&gt;0,Table10[[#This Row],[Winter Items Other ]]&lt;&gt;0),"No","")</f>
        <v/>
      </c>
      <c r="N12" s="130">
        <f>COUNTIF(A:A,Table10[[#This Row],[Pcode]])-1</f>
        <v>0</v>
      </c>
    </row>
    <row r="13" spans="1:20" x14ac:dyDescent="0.25">
      <c r="A13" s="110"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182</v>
      </c>
      <c r="F13" s="7">
        <f ca="1">OFFSET(CampList[Total],MATCH(Table10[[#This Row],[Pcode]],CampList[CP_Pcode],0)-1,0,1,1)</f>
        <v>969</v>
      </c>
      <c r="G13" s="116">
        <f>SUMIF('NFI Distributions'!AS$38:AS$1048576,Table10[[#This Row],[Pcode]],'NFI Distributions'!AK$38:AK$1048576)</f>
        <v>0</v>
      </c>
      <c r="H13" s="116">
        <f>SUMIF('NFI Distributions'!AS$38:AS$1048576,Table10[[#This Row],[Pcode]],'NFI Distributions'!AL$38:AL$1048576)</f>
        <v>0</v>
      </c>
      <c r="I13" s="116">
        <f>SUMIF('NFI Distributions'!AS$38:AS$1048576,Table10[[#This Row],[Pcode]],'NFI Distributions'!AM$38:AM$1048576)</f>
        <v>0</v>
      </c>
      <c r="J13" s="116">
        <f ca="1">MAX(Table10[[#This Row],[HH]]*VLOOKUP("Winter Clothes Adult",NFI,6)-Table10[[#This Row],[Winter Clothes Adult ]],0)</f>
        <v>364</v>
      </c>
      <c r="K13" s="116">
        <f ca="1">MAX(Table10[[#This Row],[HH]]*VLOOKUP("Winter Clothes Children ",NFI,6)-Table10[[#This Row],[Winter Clothes Children ]],0)</f>
        <v>182</v>
      </c>
      <c r="L13" s="116">
        <f ca="1">MAX(Table10[[#This Row],[HH]]*VLOOKUP("Winter Items Other ",NFI,6)-Table10[[#This Row],[Winter Items Other ]],0)</f>
        <v>182</v>
      </c>
      <c r="M13" s="129" t="str">
        <f>IF(OR(Table10[[#This Row],[Winter Clothes Adult ]]&lt;&gt;0,Table10[[#This Row],[Winter Clothes Children ]]&lt;&gt;0,Table10[[#This Row],[Winter Items Other ]]&lt;&gt;0),"No","")</f>
        <v/>
      </c>
      <c r="N13" s="130">
        <f>COUNTIF(A:A,Table10[[#This Row],[Pcode]])-1</f>
        <v>0</v>
      </c>
    </row>
    <row r="14" spans="1:20" x14ac:dyDescent="0.25">
      <c r="A14" s="110"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1787</v>
      </c>
      <c r="G14" s="116">
        <f>SUMIF('NFI Distributions'!AS$38:AS$1048576,Table10[[#This Row],[Pcode]],'NFI Distributions'!AK$38:AK$1048576)</f>
        <v>0</v>
      </c>
      <c r="H14" s="116">
        <f>SUMIF('NFI Distributions'!AS$38:AS$1048576,Table10[[#This Row],[Pcode]],'NFI Distributions'!AL$38:AL$1048576)</f>
        <v>0</v>
      </c>
      <c r="I14" s="116">
        <f>SUMIF('NFI Distributions'!AS$38:AS$1048576,Table10[[#This Row],[Pcode]],'NFI Distributions'!AM$38:AM$1048576)</f>
        <v>0</v>
      </c>
      <c r="J14" s="116">
        <f ca="1">MAX(Table10[[#This Row],[HH]]*VLOOKUP("Winter Clothes Adult",NFI,6)-Table10[[#This Row],[Winter Clothes Adult ]],0)</f>
        <v>712</v>
      </c>
      <c r="K14" s="116">
        <f ca="1">MAX(Table10[[#This Row],[HH]]*VLOOKUP("Winter Clothes Children ",NFI,6)-Table10[[#This Row],[Winter Clothes Children ]],0)</f>
        <v>356</v>
      </c>
      <c r="L14" s="116">
        <f ca="1">MAX(Table10[[#This Row],[HH]]*VLOOKUP("Winter Items Other ",NFI,6)-Table10[[#This Row],[Winter Items Other ]],0)</f>
        <v>356</v>
      </c>
      <c r="M14" s="129" t="str">
        <f>IF(OR(Table10[[#This Row],[Winter Clothes Adult ]]&lt;&gt;0,Table10[[#This Row],[Winter Clothes Children ]]&lt;&gt;0,Table10[[#This Row],[Winter Items Other ]]&lt;&gt;0),"No","")</f>
        <v/>
      </c>
      <c r="N14" s="130">
        <f>COUNTIF(A:A,Table10[[#This Row],[Pcode]])-1</f>
        <v>0</v>
      </c>
    </row>
    <row r="15" spans="1:20" x14ac:dyDescent="0.25">
      <c r="A15" s="110"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46</v>
      </c>
      <c r="F15" s="7">
        <f ca="1">OFFSET(CampList[Total],MATCH(Table10[[#This Row],[Pcode]],CampList[CP_Pcode],0)-1,0,1,1)</f>
        <v>254</v>
      </c>
      <c r="G15" s="116">
        <f>SUMIF('NFI Distributions'!AS$38:AS$1048576,Table10[[#This Row],[Pcode]],'NFI Distributions'!AK$38:AK$1048576)</f>
        <v>0</v>
      </c>
      <c r="H15" s="116">
        <f>SUMIF('NFI Distributions'!AS$38:AS$1048576,Table10[[#This Row],[Pcode]],'NFI Distributions'!AL$38:AL$1048576)</f>
        <v>0</v>
      </c>
      <c r="I15" s="116">
        <f>SUMIF('NFI Distributions'!AS$38:AS$1048576,Table10[[#This Row],[Pcode]],'NFI Distributions'!AM$38:AM$1048576)</f>
        <v>0</v>
      </c>
      <c r="J15" s="116">
        <f ca="1">MAX(Table10[[#This Row],[HH]]*VLOOKUP("Winter Clothes Adult",NFI,6)-Table10[[#This Row],[Winter Clothes Adult ]],0)</f>
        <v>92</v>
      </c>
      <c r="K15" s="116">
        <f ca="1">MAX(Table10[[#This Row],[HH]]*VLOOKUP("Winter Clothes Children ",NFI,6)-Table10[[#This Row],[Winter Clothes Children ]],0)</f>
        <v>46</v>
      </c>
      <c r="L15" s="116">
        <f ca="1">MAX(Table10[[#This Row],[HH]]*VLOOKUP("Winter Items Other ",NFI,6)-Table10[[#This Row],[Winter Items Other ]],0)</f>
        <v>46</v>
      </c>
      <c r="M15" s="129" t="str">
        <f>IF(OR(Table10[[#This Row],[Winter Clothes Adult ]]&lt;&gt;0,Table10[[#This Row],[Winter Clothes Children ]]&lt;&gt;0,Table10[[#This Row],[Winter Items Other ]]&lt;&gt;0),"No","")</f>
        <v/>
      </c>
      <c r="N15" s="130">
        <f>COUNTIF(A:A,Table10[[#This Row],[Pcode]])-1</f>
        <v>0</v>
      </c>
    </row>
    <row r="16" spans="1:20" x14ac:dyDescent="0.25">
      <c r="A16" s="110"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16">
        <f>SUMIF('NFI Distributions'!AS$38:AS$1048576,Table10[[#This Row],[Pcode]],'NFI Distributions'!AK$38:AK$1048576)</f>
        <v>0</v>
      </c>
      <c r="H16" s="116">
        <f>SUMIF('NFI Distributions'!AS$38:AS$1048576,Table10[[#This Row],[Pcode]],'NFI Distributions'!AL$38:AL$1048576)</f>
        <v>0</v>
      </c>
      <c r="I16" s="116">
        <f>SUMIF('NFI Distributions'!AS$38:AS$1048576,Table10[[#This Row],[Pcode]],'NFI Distributions'!AM$38:AM$1048576)</f>
        <v>0</v>
      </c>
      <c r="J16" s="116">
        <f ca="1">MAX(Table10[[#This Row],[HH]]*VLOOKUP("Winter Clothes Adult",NFI,6)-Table10[[#This Row],[Winter Clothes Adult ]],0)</f>
        <v>0</v>
      </c>
      <c r="K16" s="116">
        <f ca="1">MAX(Table10[[#This Row],[HH]]*VLOOKUP("Winter Clothes Children ",NFI,6)-Table10[[#This Row],[Winter Clothes Children ]],0)</f>
        <v>0</v>
      </c>
      <c r="L16" s="116">
        <f ca="1">MAX(Table10[[#This Row],[HH]]*VLOOKUP("Winter Items Other ",NFI,6)-Table10[[#This Row],[Winter Items Other ]],0)</f>
        <v>0</v>
      </c>
      <c r="M16" s="129" t="str">
        <f>IF(OR(Table10[[#This Row],[Winter Clothes Adult ]]&lt;&gt;0,Table10[[#This Row],[Winter Clothes Children ]]&lt;&gt;0,Table10[[#This Row],[Winter Items Other ]]&lt;&gt;0),"No","")</f>
        <v/>
      </c>
      <c r="N16" s="130">
        <f>COUNTIF(A:A,Table10[[#This Row],[Pcode]])-1</f>
        <v>0</v>
      </c>
      <c r="Q16" s="115" t="s">
        <v>410</v>
      </c>
      <c r="R16" s="404" t="s">
        <v>938</v>
      </c>
      <c r="S16" s="404" t="s">
        <v>939</v>
      </c>
      <c r="T16" s="404" t="s">
        <v>940</v>
      </c>
    </row>
    <row r="17" spans="1:20" x14ac:dyDescent="0.25">
      <c r="A17" s="110"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16">
        <f>SUMIF('NFI Distributions'!AS$38:AS$1048576,Table10[[#This Row],[Pcode]],'NFI Distributions'!AK$38:AK$1048576)</f>
        <v>0</v>
      </c>
      <c r="H17" s="116">
        <f>SUMIF('NFI Distributions'!AS$38:AS$1048576,Table10[[#This Row],[Pcode]],'NFI Distributions'!AL$38:AL$1048576)</f>
        <v>0</v>
      </c>
      <c r="I17" s="116">
        <f>SUMIF('NFI Distributions'!AS$38:AS$1048576,Table10[[#This Row],[Pcode]],'NFI Distributions'!AM$38:AM$1048576)</f>
        <v>0</v>
      </c>
      <c r="J17" s="116">
        <f ca="1">MAX(Table10[[#This Row],[HH]]*VLOOKUP("Winter Clothes Adult",NFI,6)-Table10[[#This Row],[Winter Clothes Adult ]],0)</f>
        <v>0</v>
      </c>
      <c r="K17" s="116">
        <f ca="1">MAX(Table10[[#This Row],[HH]]*VLOOKUP("Winter Clothes Children ",NFI,6)-Table10[[#This Row],[Winter Clothes Children ]],0)</f>
        <v>0</v>
      </c>
      <c r="L17" s="116">
        <f ca="1">MAX(Table10[[#This Row],[HH]]*VLOOKUP("Winter Items Other ",NFI,6)-Table10[[#This Row],[Winter Items Other ]],0)</f>
        <v>0</v>
      </c>
      <c r="M17" s="129" t="str">
        <f>IF(OR(Table10[[#This Row],[Winter Clothes Adult ]]&lt;&gt;0,Table10[[#This Row],[Winter Clothes Children ]]&lt;&gt;0,Table10[[#This Row],[Winter Items Other ]]&lt;&gt;0),"No","")</f>
        <v/>
      </c>
      <c r="N17" s="130">
        <f>COUNTIF(A:A,Table10[[#This Row],[Pcode]])-1</f>
        <v>0</v>
      </c>
      <c r="Q17" s="114" t="s">
        <v>930</v>
      </c>
      <c r="R17" s="188">
        <v>3170</v>
      </c>
      <c r="S17" s="188">
        <v>1421</v>
      </c>
      <c r="T17" s="188">
        <v>1673</v>
      </c>
    </row>
    <row r="18" spans="1:20" x14ac:dyDescent="0.25">
      <c r="A18" s="110"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386</v>
      </c>
      <c r="F18" s="7">
        <f ca="1">OFFSET(CampList[Total],MATCH(Table10[[#This Row],[Pcode]],CampList[CP_Pcode],0)-1,0,1,1)</f>
        <v>1902</v>
      </c>
      <c r="G18" s="116">
        <f>SUMIF('NFI Distributions'!AS$38:AS$1048576,Table10[[#This Row],[Pcode]],'NFI Distributions'!AK$38:AK$1048576)</f>
        <v>0</v>
      </c>
      <c r="H18" s="116">
        <f>SUMIF('NFI Distributions'!AS$38:AS$1048576,Table10[[#This Row],[Pcode]],'NFI Distributions'!AL$38:AL$1048576)</f>
        <v>0</v>
      </c>
      <c r="I18" s="116">
        <f>SUMIF('NFI Distributions'!AS$38:AS$1048576,Table10[[#This Row],[Pcode]],'NFI Distributions'!AM$38:AM$1048576)</f>
        <v>0</v>
      </c>
      <c r="J18" s="116">
        <f ca="1">MAX(Table10[[#This Row],[HH]]*VLOOKUP("Winter Clothes Adult",NFI,6)-Table10[[#This Row],[Winter Clothes Adult ]],0)</f>
        <v>772</v>
      </c>
      <c r="K18" s="116">
        <f ca="1">MAX(Table10[[#This Row],[HH]]*VLOOKUP("Winter Clothes Children ",NFI,6)-Table10[[#This Row],[Winter Clothes Children ]],0)</f>
        <v>386</v>
      </c>
      <c r="L18" s="116">
        <f ca="1">MAX(Table10[[#This Row],[HH]]*VLOOKUP("Winter Items Other ",NFI,6)-Table10[[#This Row],[Winter Items Other ]],0)</f>
        <v>386</v>
      </c>
      <c r="M18" s="129" t="str">
        <f>IF(OR(Table10[[#This Row],[Winter Clothes Adult ]]&lt;&gt;0,Table10[[#This Row],[Winter Clothes Children ]]&lt;&gt;0,Table10[[#This Row],[Winter Items Other ]]&lt;&gt;0),"No","")</f>
        <v/>
      </c>
      <c r="N18" s="130">
        <f>COUNTIF(A:A,Table10[[#This Row],[Pcode]])-1</f>
        <v>0</v>
      </c>
      <c r="Q18" s="114" t="s">
        <v>931</v>
      </c>
      <c r="R18" s="188">
        <v>8744</v>
      </c>
      <c r="S18" s="188">
        <v>4372</v>
      </c>
      <c r="T18" s="188">
        <v>4372</v>
      </c>
    </row>
    <row r="19" spans="1:20" x14ac:dyDescent="0.25">
      <c r="A19" s="110" t="s">
        <v>893</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16">
        <f>SUMIF('NFI Distributions'!AS$38:AS$1048576,Table10[[#This Row],[Pcode]],'NFI Distributions'!AK$38:AK$1048576)</f>
        <v>0</v>
      </c>
      <c r="H19" s="116">
        <f>SUMIF('NFI Distributions'!AS$38:AS$1048576,Table10[[#This Row],[Pcode]],'NFI Distributions'!AL$38:AL$1048576)</f>
        <v>0</v>
      </c>
      <c r="I19" s="116">
        <f>SUMIF('NFI Distributions'!AS$38:AS$1048576,Table10[[#This Row],[Pcode]],'NFI Distributions'!AM$38:AM$1048576)</f>
        <v>0</v>
      </c>
      <c r="J19" s="116">
        <f ca="1">MAX(Table10[[#This Row],[HH]]*VLOOKUP("Winter Clothes Adult",NFI,6)-Table10[[#This Row],[Winter Clothes Adult ]],0)</f>
        <v>0</v>
      </c>
      <c r="K19" s="116">
        <f ca="1">MAX(Table10[[#This Row],[HH]]*VLOOKUP("Winter Clothes Children ",NFI,6)-Table10[[#This Row],[Winter Clothes Children ]],0)</f>
        <v>0</v>
      </c>
      <c r="L19" s="116">
        <f ca="1">MAX(Table10[[#This Row],[HH]]*VLOOKUP("Winter Items Other ",NFI,6)-Table10[[#This Row],[Winter Items Other ]],0)</f>
        <v>0</v>
      </c>
      <c r="M19" s="129" t="str">
        <f>IF(OR(Table10[[#This Row],[Winter Clothes Adult ]]&lt;&gt;0,Table10[[#This Row],[Winter Clothes Children ]]&lt;&gt;0,Table10[[#This Row],[Winter Items Other ]]&lt;&gt;0),"No","")</f>
        <v/>
      </c>
      <c r="N19" s="130">
        <f>COUNTIF(A:A,Table10[[#This Row],[Pcode]])-1</f>
        <v>0</v>
      </c>
      <c r="Q19" s="114" t="s">
        <v>932</v>
      </c>
      <c r="R19" s="188">
        <v>2400</v>
      </c>
      <c r="S19" s="188">
        <v>1230</v>
      </c>
      <c r="T19" s="188">
        <v>1230</v>
      </c>
    </row>
    <row r="20" spans="1:20" x14ac:dyDescent="0.25">
      <c r="A20" s="110"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548</v>
      </c>
      <c r="F20" s="7">
        <f ca="1">OFFSET(CampList[Total],MATCH(Table10[[#This Row],[Pcode]],CampList[CP_Pcode],0)-1,0,1,1)</f>
        <v>2482</v>
      </c>
      <c r="G20" s="116">
        <f>SUMIF('NFI Distributions'!AS$38:AS$1048576,Table10[[#This Row],[Pcode]],'NFI Distributions'!AK$38:AK$1048576)</f>
        <v>0</v>
      </c>
      <c r="H20" s="116">
        <f>SUMIF('NFI Distributions'!AS$38:AS$1048576,Table10[[#This Row],[Pcode]],'NFI Distributions'!AL$38:AL$1048576)</f>
        <v>0</v>
      </c>
      <c r="I20" s="116">
        <f>SUMIF('NFI Distributions'!AS$38:AS$1048576,Table10[[#This Row],[Pcode]],'NFI Distributions'!AM$38:AM$1048576)</f>
        <v>0</v>
      </c>
      <c r="J20" s="116">
        <f ca="1">MAX(Table10[[#This Row],[HH]]*VLOOKUP("Winter Clothes Adult",NFI,6)-Table10[[#This Row],[Winter Clothes Adult ]],0)</f>
        <v>1096</v>
      </c>
      <c r="K20" s="116">
        <f ca="1">MAX(Table10[[#This Row],[HH]]*VLOOKUP("Winter Clothes Children ",NFI,6)-Table10[[#This Row],[Winter Clothes Children ]],0)</f>
        <v>548</v>
      </c>
      <c r="L20" s="116">
        <f ca="1">MAX(Table10[[#This Row],[HH]]*VLOOKUP("Winter Items Other ",NFI,6)-Table10[[#This Row],[Winter Items Other ]],0)</f>
        <v>548</v>
      </c>
      <c r="M20" s="129" t="str">
        <f>IF(OR(Table10[[#This Row],[Winter Clothes Adult ]]&lt;&gt;0,Table10[[#This Row],[Winter Clothes Children ]]&lt;&gt;0,Table10[[#This Row],[Winter Items Other ]]&lt;&gt;0),"No","")</f>
        <v/>
      </c>
      <c r="N20" s="130">
        <f>COUNTIF(A:A,Table10[[#This Row],[Pcode]])-1</f>
        <v>0</v>
      </c>
      <c r="Q20" s="114" t="s">
        <v>945</v>
      </c>
      <c r="R20" s="188">
        <v>21216</v>
      </c>
      <c r="S20" s="188">
        <v>10680</v>
      </c>
      <c r="T20" s="188">
        <v>10680</v>
      </c>
    </row>
    <row r="21" spans="1:20" x14ac:dyDescent="0.25">
      <c r="A21" s="110"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16">
        <f>SUMIF('NFI Distributions'!AS$38:AS$1048576,Table10[[#This Row],[Pcode]],'NFI Distributions'!AK$38:AK$1048576)</f>
        <v>0</v>
      </c>
      <c r="H21" s="116">
        <f>SUMIF('NFI Distributions'!AS$38:AS$1048576,Table10[[#This Row],[Pcode]],'NFI Distributions'!AL$38:AL$1048576)</f>
        <v>0</v>
      </c>
      <c r="I21" s="116">
        <f>SUMIF('NFI Distributions'!AS$38:AS$1048576,Table10[[#This Row],[Pcode]],'NFI Distributions'!AM$38:AM$1048576)</f>
        <v>0</v>
      </c>
      <c r="J21" s="116">
        <f ca="1">MAX(Table10[[#This Row],[HH]]*VLOOKUP("Winter Clothes Adult",NFI,6)-Table10[[#This Row],[Winter Clothes Adult ]],0)</f>
        <v>0</v>
      </c>
      <c r="K21" s="116">
        <f ca="1">MAX(Table10[[#This Row],[HH]]*VLOOKUP("Winter Clothes Children ",NFI,6)-Table10[[#This Row],[Winter Clothes Children ]],0)</f>
        <v>0</v>
      </c>
      <c r="L21" s="116">
        <f ca="1">MAX(Table10[[#This Row],[HH]]*VLOOKUP("Winter Items Other ",NFI,6)-Table10[[#This Row],[Winter Items Other ]],0)</f>
        <v>0</v>
      </c>
      <c r="M21" s="129" t="str">
        <f>IF(OR(Table10[[#This Row],[Winter Clothes Adult ]]&lt;&gt;0,Table10[[#This Row],[Winter Clothes Children ]]&lt;&gt;0,Table10[[#This Row],[Winter Items Other ]]&lt;&gt;0),"No","")</f>
        <v/>
      </c>
      <c r="N21" s="130">
        <f>COUNTIF(A:A,Table10[[#This Row],[Pcode]])-1</f>
        <v>0</v>
      </c>
      <c r="Q21" s="114" t="s">
        <v>411</v>
      </c>
      <c r="R21" s="188">
        <v>35530</v>
      </c>
      <c r="S21" s="188">
        <v>17703</v>
      </c>
      <c r="T21" s="188">
        <v>17955</v>
      </c>
    </row>
    <row r="22" spans="1:20" x14ac:dyDescent="0.25">
      <c r="A22" s="110"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717</v>
      </c>
      <c r="F22" s="7">
        <f ca="1">OFFSET(CampList[Total],MATCH(Table10[[#This Row],[Pcode]],CampList[CP_Pcode],0)-1,0,1,1)</f>
        <v>3615</v>
      </c>
      <c r="G22" s="116">
        <f>SUMIF('NFI Distributions'!AS$38:AS$1048576,Table10[[#This Row],[Pcode]],'NFI Distributions'!AK$38:AK$1048576)</f>
        <v>0</v>
      </c>
      <c r="H22" s="116">
        <f>SUMIF('NFI Distributions'!AS$38:AS$1048576,Table10[[#This Row],[Pcode]],'NFI Distributions'!AL$38:AL$1048576)</f>
        <v>0</v>
      </c>
      <c r="I22" s="116">
        <f>SUMIF('NFI Distributions'!AS$38:AS$1048576,Table10[[#This Row],[Pcode]],'NFI Distributions'!AM$38:AM$1048576)</f>
        <v>0</v>
      </c>
      <c r="J22" s="116">
        <f ca="1">MAX(Table10[[#This Row],[HH]]*VLOOKUP("Winter Clothes Adult",NFI,6)-Table10[[#This Row],[Winter Clothes Adult ]],0)</f>
        <v>1434</v>
      </c>
      <c r="K22" s="116">
        <f ca="1">MAX(Table10[[#This Row],[HH]]*VLOOKUP("Winter Clothes Children ",NFI,6)-Table10[[#This Row],[Winter Clothes Children ]],0)</f>
        <v>717</v>
      </c>
      <c r="L22" s="116">
        <f ca="1">MAX(Table10[[#This Row],[HH]]*VLOOKUP("Winter Items Other ",NFI,6)-Table10[[#This Row],[Winter Items Other ]],0)</f>
        <v>717</v>
      </c>
      <c r="M22" s="129" t="str">
        <f>IF(OR(Table10[[#This Row],[Winter Clothes Adult ]]&lt;&gt;0,Table10[[#This Row],[Winter Clothes Children ]]&lt;&gt;0,Table10[[#This Row],[Winter Items Other ]]&lt;&gt;0),"No","")</f>
        <v/>
      </c>
      <c r="N22" s="130">
        <f>COUNTIF(A:A,Table10[[#This Row],[Pcode]])-1</f>
        <v>0</v>
      </c>
    </row>
    <row r="23" spans="1:20" x14ac:dyDescent="0.25">
      <c r="A23" s="110"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1518</v>
      </c>
      <c r="F23" s="7">
        <f ca="1">OFFSET(CampList[Total],MATCH(Table10[[#This Row],[Pcode]],CampList[CP_Pcode],0)-1,0,1,1)</f>
        <v>8513</v>
      </c>
      <c r="G23" s="116">
        <f>SUMIF('NFI Distributions'!AS$38:AS$1048576,Table10[[#This Row],[Pcode]],'NFI Distributions'!AK$38:AK$1048576)</f>
        <v>0</v>
      </c>
      <c r="H23" s="116">
        <f>SUMIF('NFI Distributions'!AS$38:AS$1048576,Table10[[#This Row],[Pcode]],'NFI Distributions'!AL$38:AL$1048576)</f>
        <v>0</v>
      </c>
      <c r="I23" s="116">
        <f>SUMIF('NFI Distributions'!AS$38:AS$1048576,Table10[[#This Row],[Pcode]],'NFI Distributions'!AM$38:AM$1048576)</f>
        <v>0</v>
      </c>
      <c r="J23" s="116">
        <f ca="1">MAX(Table10[[#This Row],[HH]]*VLOOKUP("Winter Clothes Adult",NFI,6)-Table10[[#This Row],[Winter Clothes Adult ]],0)</f>
        <v>3036</v>
      </c>
      <c r="K23" s="116">
        <f ca="1">MAX(Table10[[#This Row],[HH]]*VLOOKUP("Winter Clothes Children ",NFI,6)-Table10[[#This Row],[Winter Clothes Children ]],0)</f>
        <v>1518</v>
      </c>
      <c r="L23" s="116">
        <f ca="1">MAX(Table10[[#This Row],[HH]]*VLOOKUP("Winter Items Other ",NFI,6)-Table10[[#This Row],[Winter Items Other ]],0)</f>
        <v>1518</v>
      </c>
      <c r="M23" s="129" t="str">
        <f>IF(OR(Table10[[#This Row],[Winter Clothes Adult ]]&lt;&gt;0,Table10[[#This Row],[Winter Clothes Children ]]&lt;&gt;0,Table10[[#This Row],[Winter Items Other ]]&lt;&gt;0),"No","")</f>
        <v/>
      </c>
      <c r="N23" s="130">
        <f>COUNTIF(A:A,Table10[[#This Row],[Pcode]])-1</f>
        <v>0</v>
      </c>
    </row>
    <row r="24" spans="1:20" x14ac:dyDescent="0.25">
      <c r="A24" s="110"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651</v>
      </c>
      <c r="F24" s="7">
        <f ca="1">OFFSET(CampList[Total],MATCH(Table10[[#This Row],[Pcode]],CampList[CP_Pcode],0)-1,0,1,1)</f>
        <v>3602</v>
      </c>
      <c r="G24" s="116">
        <f>SUMIF('NFI Distributions'!AS$38:AS$1048576,Table10[[#This Row],[Pcode]],'NFI Distributions'!AK$38:AK$1048576)</f>
        <v>0</v>
      </c>
      <c r="H24" s="116">
        <f>SUMIF('NFI Distributions'!AS$38:AS$1048576,Table10[[#This Row],[Pcode]],'NFI Distributions'!AL$38:AL$1048576)</f>
        <v>0</v>
      </c>
      <c r="I24" s="116">
        <f>SUMIF('NFI Distributions'!AS$38:AS$1048576,Table10[[#This Row],[Pcode]],'NFI Distributions'!AM$38:AM$1048576)</f>
        <v>0</v>
      </c>
      <c r="J24" s="116">
        <f ca="1">MAX(Table10[[#This Row],[HH]]*VLOOKUP("Winter Clothes Adult",NFI,6)-Table10[[#This Row],[Winter Clothes Adult ]],0)</f>
        <v>1302</v>
      </c>
      <c r="K24" s="116">
        <f ca="1">MAX(Table10[[#This Row],[HH]]*VLOOKUP("Winter Clothes Children ",NFI,6)-Table10[[#This Row],[Winter Clothes Children ]],0)</f>
        <v>651</v>
      </c>
      <c r="L24" s="116">
        <f ca="1">MAX(Table10[[#This Row],[HH]]*VLOOKUP("Winter Items Other ",NFI,6)-Table10[[#This Row],[Winter Items Other ]],0)</f>
        <v>651</v>
      </c>
      <c r="M24" s="129" t="str">
        <f>IF(OR(Table10[[#This Row],[Winter Clothes Adult ]]&lt;&gt;0,Table10[[#This Row],[Winter Clothes Children ]]&lt;&gt;0,Table10[[#This Row],[Winter Items Other ]]&lt;&gt;0),"No","")</f>
        <v/>
      </c>
      <c r="N24" s="130">
        <f>COUNTIF(A:A,Table10[[#This Row],[Pcode]])-1</f>
        <v>0</v>
      </c>
    </row>
    <row r="25" spans="1:20" x14ac:dyDescent="0.25">
      <c r="A25" s="110"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100</v>
      </c>
      <c r="F25" s="7">
        <f ca="1">OFFSET(CampList[Total],MATCH(Table10[[#This Row],[Pcode]],CampList[CP_Pcode],0)-1,0,1,1)</f>
        <v>457</v>
      </c>
      <c r="G25" s="116">
        <f>SUMIF('NFI Distributions'!AS$38:AS$1048576,Table10[[#This Row],[Pcode]],'NFI Distributions'!AK$38:AK$1048576)</f>
        <v>0</v>
      </c>
      <c r="H25" s="116">
        <f>SUMIF('NFI Distributions'!AS$38:AS$1048576,Table10[[#This Row],[Pcode]],'NFI Distributions'!AL$38:AL$1048576)</f>
        <v>0</v>
      </c>
      <c r="I25" s="116">
        <f>SUMIF('NFI Distributions'!AS$38:AS$1048576,Table10[[#This Row],[Pcode]],'NFI Distributions'!AM$38:AM$1048576)</f>
        <v>0</v>
      </c>
      <c r="J25" s="116">
        <f ca="1">MAX(Table10[[#This Row],[HH]]*VLOOKUP("Winter Clothes Adult",NFI,6)-Table10[[#This Row],[Winter Clothes Adult ]],0)</f>
        <v>200</v>
      </c>
      <c r="K25" s="116">
        <f ca="1">MAX(Table10[[#This Row],[HH]]*VLOOKUP("Winter Clothes Children ",NFI,6)-Table10[[#This Row],[Winter Clothes Children ]],0)</f>
        <v>100</v>
      </c>
      <c r="L25" s="116">
        <f ca="1">MAX(Table10[[#This Row],[HH]]*VLOOKUP("Winter Items Other ",NFI,6)-Table10[[#This Row],[Winter Items Other ]],0)</f>
        <v>100</v>
      </c>
      <c r="M25" s="129" t="str">
        <f>IF(OR(Table10[[#This Row],[Winter Clothes Adult ]]&lt;&gt;0,Table10[[#This Row],[Winter Clothes Children ]]&lt;&gt;0,Table10[[#This Row],[Winter Items Other ]]&lt;&gt;0),"No","")</f>
        <v/>
      </c>
      <c r="N25" s="130">
        <f>COUNTIF(A:A,Table10[[#This Row],[Pcode]])-1</f>
        <v>0</v>
      </c>
    </row>
    <row r="26" spans="1:20" x14ac:dyDescent="0.25">
      <c r="A26" s="110" t="s">
        <v>754</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16">
        <f>SUMIF('NFI Distributions'!AS$38:AS$1048576,Table10[[#This Row],[Pcode]],'NFI Distributions'!AK$38:AK$1048576)</f>
        <v>0</v>
      </c>
      <c r="H26" s="116">
        <f>SUMIF('NFI Distributions'!AS$38:AS$1048576,Table10[[#This Row],[Pcode]],'NFI Distributions'!AL$38:AL$1048576)</f>
        <v>0</v>
      </c>
      <c r="I26" s="116">
        <f>SUMIF('NFI Distributions'!AS$38:AS$1048576,Table10[[#This Row],[Pcode]],'NFI Distributions'!AM$38:AM$1048576)</f>
        <v>0</v>
      </c>
      <c r="J26" s="116">
        <f ca="1">MAX(Table10[[#This Row],[HH]]*VLOOKUP("Winter Clothes Adult",NFI,6)-Table10[[#This Row],[Winter Clothes Adult ]],0)</f>
        <v>0</v>
      </c>
      <c r="K26" s="116">
        <f ca="1">MAX(Table10[[#This Row],[HH]]*VLOOKUP("Winter Clothes Children ",NFI,6)-Table10[[#This Row],[Winter Clothes Children ]],0)</f>
        <v>0</v>
      </c>
      <c r="L26" s="116">
        <f ca="1">MAX(Table10[[#This Row],[HH]]*VLOOKUP("Winter Items Other ",NFI,6)-Table10[[#This Row],[Winter Items Other ]],0)</f>
        <v>0</v>
      </c>
      <c r="M26" s="129" t="str">
        <f>IF(OR(Table10[[#This Row],[Winter Clothes Adult ]]&lt;&gt;0,Table10[[#This Row],[Winter Clothes Children ]]&lt;&gt;0,Table10[[#This Row],[Winter Items Other ]]&lt;&gt;0),"No","")</f>
        <v/>
      </c>
      <c r="N26" s="130">
        <f>COUNTIF(A:A,Table10[[#This Row],[Pcode]])-1</f>
        <v>0</v>
      </c>
    </row>
    <row r="27" spans="1:20" x14ac:dyDescent="0.25">
      <c r="A27" s="110"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16">
        <f>SUMIF('NFI Distributions'!AS$38:AS$1048576,Table10[[#This Row],[Pcode]],'NFI Distributions'!AK$38:AK$1048576)</f>
        <v>0</v>
      </c>
      <c r="H27" s="116">
        <f>SUMIF('NFI Distributions'!AS$38:AS$1048576,Table10[[#This Row],[Pcode]],'NFI Distributions'!AL$38:AL$1048576)</f>
        <v>0</v>
      </c>
      <c r="I27" s="116">
        <f>SUMIF('NFI Distributions'!AS$38:AS$1048576,Table10[[#This Row],[Pcode]],'NFI Distributions'!AM$38:AM$1048576)</f>
        <v>0</v>
      </c>
      <c r="J27" s="116">
        <f ca="1">MAX(Table10[[#This Row],[HH]]*VLOOKUP("Winter Clothes Adult",NFI,6)-Table10[[#This Row],[Winter Clothes Adult ]],0)</f>
        <v>0</v>
      </c>
      <c r="K27" s="116">
        <f ca="1">MAX(Table10[[#This Row],[HH]]*VLOOKUP("Winter Clothes Children ",NFI,6)-Table10[[#This Row],[Winter Clothes Children ]],0)</f>
        <v>0</v>
      </c>
      <c r="L27" s="116">
        <f ca="1">MAX(Table10[[#This Row],[HH]]*VLOOKUP("Winter Items Other ",NFI,6)-Table10[[#This Row],[Winter Items Other ]],0)</f>
        <v>0</v>
      </c>
      <c r="M27" s="129" t="str">
        <f>IF(OR(Table10[[#This Row],[Winter Clothes Adult ]]&lt;&gt;0,Table10[[#This Row],[Winter Clothes Children ]]&lt;&gt;0,Table10[[#This Row],[Winter Items Other ]]&lt;&gt;0),"No","")</f>
        <v/>
      </c>
      <c r="N27" s="130">
        <f>COUNTIF(A:A,Table10[[#This Row],[Pcode]])-1</f>
        <v>0</v>
      </c>
    </row>
    <row r="28" spans="1:20" x14ac:dyDescent="0.25">
      <c r="A28" s="110"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16">
        <f>SUMIF('NFI Distributions'!AS$38:AS$1048576,Table10[[#This Row],[Pcode]],'NFI Distributions'!AK$38:AK$1048576)</f>
        <v>0</v>
      </c>
      <c r="H28" s="116">
        <f>SUMIF('NFI Distributions'!AS$38:AS$1048576,Table10[[#This Row],[Pcode]],'NFI Distributions'!AL$38:AL$1048576)</f>
        <v>0</v>
      </c>
      <c r="I28" s="116">
        <f>SUMIF('NFI Distributions'!AS$38:AS$1048576,Table10[[#This Row],[Pcode]],'NFI Distributions'!AM$38:AM$1048576)</f>
        <v>0</v>
      </c>
      <c r="J28" s="116">
        <f ca="1">MAX(Table10[[#This Row],[HH]]*VLOOKUP("Winter Clothes Adult",NFI,6)-Table10[[#This Row],[Winter Clothes Adult ]],0)</f>
        <v>0</v>
      </c>
      <c r="K28" s="116">
        <f ca="1">MAX(Table10[[#This Row],[HH]]*VLOOKUP("Winter Clothes Children ",NFI,6)-Table10[[#This Row],[Winter Clothes Children ]],0)</f>
        <v>0</v>
      </c>
      <c r="L28" s="116">
        <f ca="1">MAX(Table10[[#This Row],[HH]]*VLOOKUP("Winter Items Other ",NFI,6)-Table10[[#This Row],[Winter Items Other ]],0)</f>
        <v>0</v>
      </c>
      <c r="M28" s="129" t="str">
        <f>IF(OR(Table10[[#This Row],[Winter Clothes Adult ]]&lt;&gt;0,Table10[[#This Row],[Winter Clothes Children ]]&lt;&gt;0,Table10[[#This Row],[Winter Items Other ]]&lt;&gt;0),"No","")</f>
        <v/>
      </c>
      <c r="N28" s="130">
        <f>COUNTIF(A:A,Table10[[#This Row],[Pcode]])-1</f>
        <v>0</v>
      </c>
    </row>
    <row r="29" spans="1:20" x14ac:dyDescent="0.25">
      <c r="A29" s="110"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437</v>
      </c>
      <c r="F29" s="7">
        <f ca="1">OFFSET(CampList[Total],MATCH(Table10[[#This Row],[Pcode]],CampList[CP_Pcode],0)-1,0,1,1)</f>
        <v>1938</v>
      </c>
      <c r="G29" s="116">
        <f>SUMIF('NFI Distributions'!AS$38:AS$1048576,Table10[[#This Row],[Pcode]],'NFI Distributions'!AK$38:AK$1048576)</f>
        <v>0</v>
      </c>
      <c r="H29" s="116">
        <f>SUMIF('NFI Distributions'!AS$38:AS$1048576,Table10[[#This Row],[Pcode]],'NFI Distributions'!AL$38:AL$1048576)</f>
        <v>0</v>
      </c>
      <c r="I29" s="116">
        <f>SUMIF('NFI Distributions'!AS$38:AS$1048576,Table10[[#This Row],[Pcode]],'NFI Distributions'!AM$38:AM$1048576)</f>
        <v>0</v>
      </c>
      <c r="J29" s="116">
        <f ca="1">MAX(Table10[[#This Row],[HH]]*VLOOKUP("Winter Clothes Adult",NFI,6)-Table10[[#This Row],[Winter Clothes Adult ]],0)</f>
        <v>874</v>
      </c>
      <c r="K29" s="116">
        <f ca="1">MAX(Table10[[#This Row],[HH]]*VLOOKUP("Winter Clothes Children ",NFI,6)-Table10[[#This Row],[Winter Clothes Children ]],0)</f>
        <v>437</v>
      </c>
      <c r="L29" s="116">
        <f ca="1">MAX(Table10[[#This Row],[HH]]*VLOOKUP("Winter Items Other ",NFI,6)-Table10[[#This Row],[Winter Items Other ]],0)</f>
        <v>437</v>
      </c>
      <c r="M29" s="129" t="str">
        <f>IF(OR(Table10[[#This Row],[Winter Clothes Adult ]]&lt;&gt;0,Table10[[#This Row],[Winter Clothes Children ]]&lt;&gt;0,Table10[[#This Row],[Winter Items Other ]]&lt;&gt;0),"No","")</f>
        <v/>
      </c>
      <c r="N29" s="130">
        <f>COUNTIF(A:A,Table10[[#This Row],[Pcode]])-1</f>
        <v>0</v>
      </c>
    </row>
    <row r="30" spans="1:20" x14ac:dyDescent="0.25">
      <c r="A30" s="110"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178</v>
      </c>
      <c r="G30" s="116">
        <f>SUMIF('NFI Distributions'!AS$38:AS$1048576,Table10[[#This Row],[Pcode]],'NFI Distributions'!AK$38:AK$1048576)</f>
        <v>0</v>
      </c>
      <c r="H30" s="116">
        <f>SUMIF('NFI Distributions'!AS$38:AS$1048576,Table10[[#This Row],[Pcode]],'NFI Distributions'!AL$38:AL$1048576)</f>
        <v>0</v>
      </c>
      <c r="I30" s="116">
        <f>SUMIF('NFI Distributions'!AS$38:AS$1048576,Table10[[#This Row],[Pcode]],'NFI Distributions'!AM$38:AM$1048576)</f>
        <v>0</v>
      </c>
      <c r="J30" s="116">
        <f ca="1">MAX(Table10[[#This Row],[HH]]*VLOOKUP("Winter Clothes Adult",NFI,6)-Table10[[#This Row],[Winter Clothes Adult ]],0)</f>
        <v>66</v>
      </c>
      <c r="K30" s="116">
        <f ca="1">MAX(Table10[[#This Row],[HH]]*VLOOKUP("Winter Clothes Children ",NFI,6)-Table10[[#This Row],[Winter Clothes Children ]],0)</f>
        <v>33</v>
      </c>
      <c r="L30" s="116">
        <f ca="1">MAX(Table10[[#This Row],[HH]]*VLOOKUP("Winter Items Other ",NFI,6)-Table10[[#This Row],[Winter Items Other ]],0)</f>
        <v>33</v>
      </c>
      <c r="M30" s="129" t="str">
        <f>IF(OR(Table10[[#This Row],[Winter Clothes Adult ]]&lt;&gt;0,Table10[[#This Row],[Winter Clothes Children ]]&lt;&gt;0,Table10[[#This Row],[Winter Items Other ]]&lt;&gt;0),"No","")</f>
        <v/>
      </c>
      <c r="N30" s="130">
        <f>COUNTIF(A:A,Table10[[#This Row],[Pcode]])-1</f>
        <v>0</v>
      </c>
    </row>
    <row r="31" spans="1:20" x14ac:dyDescent="0.25">
      <c r="A31" s="110" t="s">
        <v>773</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16">
        <f>SUMIF('NFI Distributions'!AS$38:AS$1048576,Table10[[#This Row],[Pcode]],'NFI Distributions'!AK$38:AK$1048576)</f>
        <v>0</v>
      </c>
      <c r="H31" s="116">
        <f>SUMIF('NFI Distributions'!AS$38:AS$1048576,Table10[[#This Row],[Pcode]],'NFI Distributions'!AL$38:AL$1048576)</f>
        <v>0</v>
      </c>
      <c r="I31" s="116">
        <f>SUMIF('NFI Distributions'!AS$38:AS$1048576,Table10[[#This Row],[Pcode]],'NFI Distributions'!AM$38:AM$1048576)</f>
        <v>0</v>
      </c>
      <c r="J31" s="116">
        <f ca="1">MAX(Table10[[#This Row],[HH]]*VLOOKUP("Winter Clothes Adult",NFI,6)-Table10[[#This Row],[Winter Clothes Adult ]],0)</f>
        <v>18</v>
      </c>
      <c r="K31" s="116">
        <f ca="1">MAX(Table10[[#This Row],[HH]]*VLOOKUP("Winter Clothes Children ",NFI,6)-Table10[[#This Row],[Winter Clothes Children ]],0)</f>
        <v>9</v>
      </c>
      <c r="L31" s="116">
        <f ca="1">MAX(Table10[[#This Row],[HH]]*VLOOKUP("Winter Items Other ",NFI,6)-Table10[[#This Row],[Winter Items Other ]],0)</f>
        <v>9</v>
      </c>
      <c r="M31" s="129" t="str">
        <f>IF(OR(Table10[[#This Row],[Winter Clothes Adult ]]&lt;&gt;0,Table10[[#This Row],[Winter Clothes Children ]]&lt;&gt;0,Table10[[#This Row],[Winter Items Other ]]&lt;&gt;0),"No","")</f>
        <v/>
      </c>
      <c r="N31" s="130">
        <f>COUNTIF(A:A,Table10[[#This Row],[Pcode]])-1</f>
        <v>0</v>
      </c>
    </row>
    <row r="32" spans="1:20" x14ac:dyDescent="0.25">
      <c r="A32" s="110"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241</v>
      </c>
      <c r="G32" s="116">
        <f>SUMIF('NFI Distributions'!AS$38:AS$1048576,Table10[[#This Row],[Pcode]],'NFI Distributions'!AK$38:AK$1048576)</f>
        <v>0</v>
      </c>
      <c r="H32" s="116">
        <f>SUMIF('NFI Distributions'!AS$38:AS$1048576,Table10[[#This Row],[Pcode]],'NFI Distributions'!AL$38:AL$1048576)</f>
        <v>0</v>
      </c>
      <c r="I32" s="116">
        <f>SUMIF('NFI Distributions'!AS$38:AS$1048576,Table10[[#This Row],[Pcode]],'NFI Distributions'!AM$38:AM$1048576)</f>
        <v>0</v>
      </c>
      <c r="J32" s="116">
        <f ca="1">MAX(Table10[[#This Row],[HH]]*VLOOKUP("Winter Clothes Adult",NFI,6)-Table10[[#This Row],[Winter Clothes Adult ]],0)</f>
        <v>80</v>
      </c>
      <c r="K32" s="116">
        <f ca="1">MAX(Table10[[#This Row],[HH]]*VLOOKUP("Winter Clothes Children ",NFI,6)-Table10[[#This Row],[Winter Clothes Children ]],0)</f>
        <v>40</v>
      </c>
      <c r="L32" s="116">
        <f ca="1">MAX(Table10[[#This Row],[HH]]*VLOOKUP("Winter Items Other ",NFI,6)-Table10[[#This Row],[Winter Items Other ]],0)</f>
        <v>40</v>
      </c>
      <c r="M32" s="129" t="str">
        <f>IF(OR(Table10[[#This Row],[Winter Clothes Adult ]]&lt;&gt;0,Table10[[#This Row],[Winter Clothes Children ]]&lt;&gt;0,Table10[[#This Row],[Winter Items Other ]]&lt;&gt;0),"No","")</f>
        <v/>
      </c>
      <c r="N32" s="130">
        <f>COUNTIF(A:A,Table10[[#This Row],[Pcode]])-1</f>
        <v>0</v>
      </c>
    </row>
    <row r="33" spans="1:14" x14ac:dyDescent="0.25">
      <c r="A33" s="110"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16">
        <f>SUMIF('NFI Distributions'!AS$38:AS$1048576,Table10[[#This Row],[Pcode]],'NFI Distributions'!AK$38:AK$1048576)</f>
        <v>0</v>
      </c>
      <c r="H33" s="116">
        <f>SUMIF('NFI Distributions'!AS$38:AS$1048576,Table10[[#This Row],[Pcode]],'NFI Distributions'!AL$38:AL$1048576)</f>
        <v>0</v>
      </c>
      <c r="I33" s="116">
        <f>SUMIF('NFI Distributions'!AS$38:AS$1048576,Table10[[#This Row],[Pcode]],'NFI Distributions'!AM$38:AM$1048576)</f>
        <v>0</v>
      </c>
      <c r="J33" s="116">
        <f ca="1">MAX(Table10[[#This Row],[HH]]*VLOOKUP("Winter Clothes Adult",NFI,6)-Table10[[#This Row],[Winter Clothes Adult ]],0)</f>
        <v>258</v>
      </c>
      <c r="K33" s="116">
        <f ca="1">MAX(Table10[[#This Row],[HH]]*VLOOKUP("Winter Clothes Children ",NFI,6)-Table10[[#This Row],[Winter Clothes Children ]],0)</f>
        <v>129</v>
      </c>
      <c r="L33" s="116">
        <f ca="1">MAX(Table10[[#This Row],[HH]]*VLOOKUP("Winter Items Other ",NFI,6)-Table10[[#This Row],[Winter Items Other ]],0)</f>
        <v>129</v>
      </c>
      <c r="M33" s="129" t="str">
        <f>IF(OR(Table10[[#This Row],[Winter Clothes Adult ]]&lt;&gt;0,Table10[[#This Row],[Winter Clothes Children ]]&lt;&gt;0,Table10[[#This Row],[Winter Items Other ]]&lt;&gt;0),"No","")</f>
        <v/>
      </c>
      <c r="N33" s="130">
        <f>COUNTIF(A:A,Table10[[#This Row],[Pcode]])-1</f>
        <v>0</v>
      </c>
    </row>
    <row r="34" spans="1:14" x14ac:dyDescent="0.25">
      <c r="A34" s="110"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199</v>
      </c>
      <c r="F34" s="7">
        <f ca="1">OFFSET(CampList[Total],MATCH(Table10[[#This Row],[Pcode]],CampList[CP_Pcode],0)-1,0,1,1)</f>
        <v>1105</v>
      </c>
      <c r="G34" s="116">
        <f>SUMIF('NFI Distributions'!AS$38:AS$1048576,Table10[[#This Row],[Pcode]],'NFI Distributions'!AK$38:AK$1048576)</f>
        <v>0</v>
      </c>
      <c r="H34" s="116">
        <f>SUMIF('NFI Distributions'!AS$38:AS$1048576,Table10[[#This Row],[Pcode]],'NFI Distributions'!AL$38:AL$1048576)</f>
        <v>0</v>
      </c>
      <c r="I34" s="116">
        <f>SUMIF('NFI Distributions'!AS$38:AS$1048576,Table10[[#This Row],[Pcode]],'NFI Distributions'!AM$38:AM$1048576)</f>
        <v>0</v>
      </c>
      <c r="J34" s="116">
        <f ca="1">MAX(Table10[[#This Row],[HH]]*VLOOKUP("Winter Clothes Adult",NFI,6)-Table10[[#This Row],[Winter Clothes Adult ]],0)</f>
        <v>398</v>
      </c>
      <c r="K34" s="116">
        <f ca="1">MAX(Table10[[#This Row],[HH]]*VLOOKUP("Winter Clothes Children ",NFI,6)-Table10[[#This Row],[Winter Clothes Children ]],0)</f>
        <v>199</v>
      </c>
      <c r="L34" s="116">
        <f ca="1">MAX(Table10[[#This Row],[HH]]*VLOOKUP("Winter Items Other ",NFI,6)-Table10[[#This Row],[Winter Items Other ]],0)</f>
        <v>199</v>
      </c>
      <c r="M34" s="129" t="str">
        <f>IF(OR(Table10[[#This Row],[Winter Clothes Adult ]]&lt;&gt;0,Table10[[#This Row],[Winter Clothes Children ]]&lt;&gt;0,Table10[[#This Row],[Winter Items Other ]]&lt;&gt;0),"No","")</f>
        <v/>
      </c>
      <c r="N34" s="130">
        <f>COUNTIF(A:A,Table10[[#This Row],[Pcode]])-1</f>
        <v>0</v>
      </c>
    </row>
    <row r="35" spans="1:14" x14ac:dyDescent="0.25">
      <c r="A35" s="110"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41</v>
      </c>
      <c r="F35" s="7">
        <f ca="1">OFFSET(CampList[Total],MATCH(Table10[[#This Row],[Pcode]],CampList[CP_Pcode],0)-1,0,1,1)</f>
        <v>245</v>
      </c>
      <c r="G35" s="116">
        <f>SUMIF('NFI Distributions'!AS$38:AS$1048576,Table10[[#This Row],[Pcode]],'NFI Distributions'!AK$38:AK$1048576)</f>
        <v>0</v>
      </c>
      <c r="H35" s="116">
        <f>SUMIF('NFI Distributions'!AS$38:AS$1048576,Table10[[#This Row],[Pcode]],'NFI Distributions'!AL$38:AL$1048576)</f>
        <v>0</v>
      </c>
      <c r="I35" s="116">
        <f>SUMIF('NFI Distributions'!AS$38:AS$1048576,Table10[[#This Row],[Pcode]],'NFI Distributions'!AM$38:AM$1048576)</f>
        <v>0</v>
      </c>
      <c r="J35" s="116">
        <f ca="1">MAX(Table10[[#This Row],[HH]]*VLOOKUP("Winter Clothes Adult",NFI,6)-Table10[[#This Row],[Winter Clothes Adult ]],0)</f>
        <v>82</v>
      </c>
      <c r="K35" s="116">
        <f ca="1">MAX(Table10[[#This Row],[HH]]*VLOOKUP("Winter Clothes Children ",NFI,6)-Table10[[#This Row],[Winter Clothes Children ]],0)</f>
        <v>41</v>
      </c>
      <c r="L35" s="116">
        <f ca="1">MAX(Table10[[#This Row],[HH]]*VLOOKUP("Winter Items Other ",NFI,6)-Table10[[#This Row],[Winter Items Other ]],0)</f>
        <v>41</v>
      </c>
      <c r="M35" s="129" t="str">
        <f>IF(OR(Table10[[#This Row],[Winter Clothes Adult ]]&lt;&gt;0,Table10[[#This Row],[Winter Clothes Children ]]&lt;&gt;0,Table10[[#This Row],[Winter Items Other ]]&lt;&gt;0),"No","")</f>
        <v/>
      </c>
      <c r="N35" s="130">
        <f>COUNTIF(A:A,Table10[[#This Row],[Pcode]])-1</f>
        <v>0</v>
      </c>
    </row>
    <row r="36" spans="1:14" x14ac:dyDescent="0.25">
      <c r="A36" s="110"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16">
        <f>SUMIF('NFI Distributions'!AS$38:AS$1048576,Table10[[#This Row],[Pcode]],'NFI Distributions'!AK$38:AK$1048576)</f>
        <v>0</v>
      </c>
      <c r="H36" s="116">
        <f>SUMIF('NFI Distributions'!AS$38:AS$1048576,Table10[[#This Row],[Pcode]],'NFI Distributions'!AL$38:AL$1048576)</f>
        <v>0</v>
      </c>
      <c r="I36" s="116">
        <f>SUMIF('NFI Distributions'!AS$38:AS$1048576,Table10[[#This Row],[Pcode]],'NFI Distributions'!AM$38:AM$1048576)</f>
        <v>0</v>
      </c>
      <c r="J36" s="116">
        <f ca="1">MAX(Table10[[#This Row],[HH]]*VLOOKUP("Winter Clothes Adult",NFI,6)-Table10[[#This Row],[Winter Clothes Adult ]],0)</f>
        <v>98</v>
      </c>
      <c r="K36" s="116">
        <f ca="1">MAX(Table10[[#This Row],[HH]]*VLOOKUP("Winter Clothes Children ",NFI,6)-Table10[[#This Row],[Winter Clothes Children ]],0)</f>
        <v>49</v>
      </c>
      <c r="L36" s="116">
        <f ca="1">MAX(Table10[[#This Row],[HH]]*VLOOKUP("Winter Items Other ",NFI,6)-Table10[[#This Row],[Winter Items Other ]],0)</f>
        <v>49</v>
      </c>
      <c r="M36" s="129" t="str">
        <f>IF(OR(Table10[[#This Row],[Winter Clothes Adult ]]&lt;&gt;0,Table10[[#This Row],[Winter Clothes Children ]]&lt;&gt;0,Table10[[#This Row],[Winter Items Other ]]&lt;&gt;0),"No","")</f>
        <v/>
      </c>
      <c r="N36" s="130">
        <f>COUNTIF(A:A,Table10[[#This Row],[Pcode]])-1</f>
        <v>0</v>
      </c>
    </row>
    <row r="37" spans="1:14" x14ac:dyDescent="0.25">
      <c r="A37" s="110" t="s">
        <v>822</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16">
        <f>SUMIF('NFI Distributions'!AS$38:AS$1048576,Table10[[#This Row],[Pcode]],'NFI Distributions'!AK$38:AK$1048576)</f>
        <v>0</v>
      </c>
      <c r="H37" s="116">
        <f>SUMIF('NFI Distributions'!AS$38:AS$1048576,Table10[[#This Row],[Pcode]],'NFI Distributions'!AL$38:AL$1048576)</f>
        <v>0</v>
      </c>
      <c r="I37" s="116">
        <f>SUMIF('NFI Distributions'!AS$38:AS$1048576,Table10[[#This Row],[Pcode]],'NFI Distributions'!AM$38:AM$1048576)</f>
        <v>0</v>
      </c>
      <c r="J37" s="116">
        <f ca="1">MAX(Table10[[#This Row],[HH]]*VLOOKUP("Winter Clothes Adult",NFI,6)-Table10[[#This Row],[Winter Clothes Adult ]],0)</f>
        <v>0</v>
      </c>
      <c r="K37" s="116">
        <f ca="1">MAX(Table10[[#This Row],[HH]]*VLOOKUP("Winter Clothes Children ",NFI,6)-Table10[[#This Row],[Winter Clothes Children ]],0)</f>
        <v>0</v>
      </c>
      <c r="L37" s="116">
        <f ca="1">MAX(Table10[[#This Row],[HH]]*VLOOKUP("Winter Items Other ",NFI,6)-Table10[[#This Row],[Winter Items Other ]],0)</f>
        <v>0</v>
      </c>
      <c r="M37" s="129" t="str">
        <f>IF(OR(Table10[[#This Row],[Winter Clothes Adult ]]&lt;&gt;0,Table10[[#This Row],[Winter Clothes Children ]]&lt;&gt;0,Table10[[#This Row],[Winter Items Other ]]&lt;&gt;0),"No","")</f>
        <v/>
      </c>
      <c r="N37" s="130">
        <f>COUNTIF(A:A,Table10[[#This Row],[Pcode]])-1</f>
        <v>0</v>
      </c>
    </row>
    <row r="38" spans="1:14" x14ac:dyDescent="0.25">
      <c r="A38" s="110" t="s">
        <v>897</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16">
        <f>SUMIF('NFI Distributions'!AS$38:AS$1048576,Table10[[#This Row],[Pcode]],'NFI Distributions'!AK$38:AK$1048576)</f>
        <v>0</v>
      </c>
      <c r="H38" s="116">
        <f>SUMIF('NFI Distributions'!AS$38:AS$1048576,Table10[[#This Row],[Pcode]],'NFI Distributions'!AL$38:AL$1048576)</f>
        <v>0</v>
      </c>
      <c r="I38" s="116">
        <f>SUMIF('NFI Distributions'!AS$38:AS$1048576,Table10[[#This Row],[Pcode]],'NFI Distributions'!AM$38:AM$1048576)</f>
        <v>0</v>
      </c>
      <c r="J38" s="116">
        <f ca="1">MAX(Table10[[#This Row],[HH]]*VLOOKUP("Winter Clothes Adult",NFI,6)-Table10[[#This Row],[Winter Clothes Adult ]],0)</f>
        <v>20</v>
      </c>
      <c r="K38" s="116">
        <f ca="1">MAX(Table10[[#This Row],[HH]]*VLOOKUP("Winter Clothes Children ",NFI,6)-Table10[[#This Row],[Winter Clothes Children ]],0)</f>
        <v>10</v>
      </c>
      <c r="L38" s="116">
        <f ca="1">MAX(Table10[[#This Row],[HH]]*VLOOKUP("Winter Items Other ",NFI,6)-Table10[[#This Row],[Winter Items Other ]],0)</f>
        <v>10</v>
      </c>
      <c r="M38" s="129" t="str">
        <f>IF(OR(Table10[[#This Row],[Winter Clothes Adult ]]&lt;&gt;0,Table10[[#This Row],[Winter Clothes Children ]]&lt;&gt;0,Table10[[#This Row],[Winter Items Other ]]&lt;&gt;0),"No","")</f>
        <v/>
      </c>
      <c r="N38" s="130">
        <f>COUNTIF(A:A,Table10[[#This Row],[Pcode]])-1</f>
        <v>0</v>
      </c>
    </row>
    <row r="39" spans="1:14" x14ac:dyDescent="0.25">
      <c r="A39" s="110" t="s">
        <v>818</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16">
        <f>SUMIF('NFI Distributions'!AS$38:AS$1048576,Table10[[#This Row],[Pcode]],'NFI Distributions'!AK$38:AK$1048576)</f>
        <v>0</v>
      </c>
      <c r="H39" s="116">
        <f>SUMIF('NFI Distributions'!AS$38:AS$1048576,Table10[[#This Row],[Pcode]],'NFI Distributions'!AL$38:AL$1048576)</f>
        <v>0</v>
      </c>
      <c r="I39" s="116">
        <f>SUMIF('NFI Distributions'!AS$38:AS$1048576,Table10[[#This Row],[Pcode]],'NFI Distributions'!AM$38:AM$1048576)</f>
        <v>0</v>
      </c>
      <c r="J39" s="116">
        <f ca="1">MAX(Table10[[#This Row],[HH]]*VLOOKUP("Winter Clothes Adult",NFI,6)-Table10[[#This Row],[Winter Clothes Adult ]],0)</f>
        <v>0</v>
      </c>
      <c r="K39" s="116">
        <f ca="1">MAX(Table10[[#This Row],[HH]]*VLOOKUP("Winter Clothes Children ",NFI,6)-Table10[[#This Row],[Winter Clothes Children ]],0)</f>
        <v>0</v>
      </c>
      <c r="L39" s="116">
        <f ca="1">MAX(Table10[[#This Row],[HH]]*VLOOKUP("Winter Items Other ",NFI,6)-Table10[[#This Row],[Winter Items Other ]],0)</f>
        <v>0</v>
      </c>
      <c r="M39" s="129" t="str">
        <f>IF(OR(Table10[[#This Row],[Winter Clothes Adult ]]&lt;&gt;0,Table10[[#This Row],[Winter Clothes Children ]]&lt;&gt;0,Table10[[#This Row],[Winter Items Other ]]&lt;&gt;0),"No","")</f>
        <v/>
      </c>
      <c r="N39" s="130">
        <f>COUNTIF(A:A,Table10[[#This Row],[Pcode]])-1</f>
        <v>0</v>
      </c>
    </row>
    <row r="40" spans="1:14" x14ac:dyDescent="0.25">
      <c r="A40" s="110"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16">
        <f>SUMIF('NFI Distributions'!AS$38:AS$1048576,Table10[[#This Row],[Pcode]],'NFI Distributions'!AK$38:AK$1048576)</f>
        <v>0</v>
      </c>
      <c r="H40" s="116">
        <f>SUMIF('NFI Distributions'!AS$38:AS$1048576,Table10[[#This Row],[Pcode]],'NFI Distributions'!AL$38:AL$1048576)</f>
        <v>0</v>
      </c>
      <c r="I40" s="116">
        <f>SUMIF('NFI Distributions'!AS$38:AS$1048576,Table10[[#This Row],[Pcode]],'NFI Distributions'!AM$38:AM$1048576)</f>
        <v>0</v>
      </c>
      <c r="J40" s="116">
        <f ca="1">MAX(Table10[[#This Row],[HH]]*VLOOKUP("Winter Clothes Adult",NFI,6)-Table10[[#This Row],[Winter Clothes Adult ]],0)</f>
        <v>28</v>
      </c>
      <c r="K40" s="116">
        <f ca="1">MAX(Table10[[#This Row],[HH]]*VLOOKUP("Winter Clothes Children ",NFI,6)-Table10[[#This Row],[Winter Clothes Children ]],0)</f>
        <v>14</v>
      </c>
      <c r="L40" s="116">
        <f ca="1">MAX(Table10[[#This Row],[HH]]*VLOOKUP("Winter Items Other ",NFI,6)-Table10[[#This Row],[Winter Items Other ]],0)</f>
        <v>14</v>
      </c>
      <c r="M40" s="129" t="str">
        <f>IF(OR(Table10[[#This Row],[Winter Clothes Adult ]]&lt;&gt;0,Table10[[#This Row],[Winter Clothes Children ]]&lt;&gt;0,Table10[[#This Row],[Winter Items Other ]]&lt;&gt;0),"No","")</f>
        <v/>
      </c>
      <c r="N40" s="130">
        <f>COUNTIF(A:A,Table10[[#This Row],[Pcode]])-1</f>
        <v>0</v>
      </c>
    </row>
    <row r="41" spans="1:14" x14ac:dyDescent="0.25">
      <c r="A41" s="110"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16">
        <f>SUMIF('NFI Distributions'!AS$38:AS$1048576,Table10[[#This Row],[Pcode]],'NFI Distributions'!AK$38:AK$1048576)</f>
        <v>0</v>
      </c>
      <c r="H41" s="116">
        <f>SUMIF('NFI Distributions'!AS$38:AS$1048576,Table10[[#This Row],[Pcode]],'NFI Distributions'!AL$38:AL$1048576)</f>
        <v>0</v>
      </c>
      <c r="I41" s="116">
        <f>SUMIF('NFI Distributions'!AS$38:AS$1048576,Table10[[#This Row],[Pcode]],'NFI Distributions'!AM$38:AM$1048576)</f>
        <v>0</v>
      </c>
      <c r="J41" s="116">
        <f ca="1">MAX(Table10[[#This Row],[HH]]*VLOOKUP("Winter Clothes Adult",NFI,6)-Table10[[#This Row],[Winter Clothes Adult ]],0)</f>
        <v>0</v>
      </c>
      <c r="K41" s="116">
        <f ca="1">MAX(Table10[[#This Row],[HH]]*VLOOKUP("Winter Clothes Children ",NFI,6)-Table10[[#This Row],[Winter Clothes Children ]],0)</f>
        <v>0</v>
      </c>
      <c r="L41" s="116">
        <f ca="1">MAX(Table10[[#This Row],[HH]]*VLOOKUP("Winter Items Other ",NFI,6)-Table10[[#This Row],[Winter Items Other ]],0)</f>
        <v>0</v>
      </c>
      <c r="M41" s="129" t="str">
        <f>IF(OR(Table10[[#This Row],[Winter Clothes Adult ]]&lt;&gt;0,Table10[[#This Row],[Winter Clothes Children ]]&lt;&gt;0,Table10[[#This Row],[Winter Items Other ]]&lt;&gt;0),"No","")</f>
        <v/>
      </c>
      <c r="N41" s="130">
        <f>COUNTIF(A:A,Table10[[#This Row],[Pcode]])-1</f>
        <v>0</v>
      </c>
    </row>
    <row r="42" spans="1:14" x14ac:dyDescent="0.25">
      <c r="A42" s="110"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58</v>
      </c>
      <c r="F42" s="7">
        <f ca="1">OFFSET(CampList[Total],MATCH(Table10[[#This Row],[Pcode]],CampList[CP_Pcode],0)-1,0,1,1)</f>
        <v>277</v>
      </c>
      <c r="G42" s="116">
        <f>SUMIF('NFI Distributions'!AS$38:AS$1048576,Table10[[#This Row],[Pcode]],'NFI Distributions'!AK$38:AK$1048576)</f>
        <v>0</v>
      </c>
      <c r="H42" s="116">
        <f>SUMIF('NFI Distributions'!AS$38:AS$1048576,Table10[[#This Row],[Pcode]],'NFI Distributions'!AL$38:AL$1048576)</f>
        <v>0</v>
      </c>
      <c r="I42" s="116">
        <f>SUMIF('NFI Distributions'!AS$38:AS$1048576,Table10[[#This Row],[Pcode]],'NFI Distributions'!AM$38:AM$1048576)</f>
        <v>0</v>
      </c>
      <c r="J42" s="116">
        <f ca="1">MAX(Table10[[#This Row],[HH]]*VLOOKUP("Winter Clothes Adult",NFI,6)-Table10[[#This Row],[Winter Clothes Adult ]],0)</f>
        <v>116</v>
      </c>
      <c r="K42" s="116">
        <f ca="1">MAX(Table10[[#This Row],[HH]]*VLOOKUP("Winter Clothes Children ",NFI,6)-Table10[[#This Row],[Winter Clothes Children ]],0)</f>
        <v>58</v>
      </c>
      <c r="L42" s="116">
        <f ca="1">MAX(Table10[[#This Row],[HH]]*VLOOKUP("Winter Items Other ",NFI,6)-Table10[[#This Row],[Winter Items Other ]],0)</f>
        <v>58</v>
      </c>
      <c r="M42" s="129" t="str">
        <f>IF(OR(Table10[[#This Row],[Winter Clothes Adult ]]&lt;&gt;0,Table10[[#This Row],[Winter Clothes Children ]]&lt;&gt;0,Table10[[#This Row],[Winter Items Other ]]&lt;&gt;0),"No","")</f>
        <v/>
      </c>
      <c r="N42" s="130">
        <f>COUNTIF(A:A,Table10[[#This Row],[Pcode]])-1</f>
        <v>0</v>
      </c>
    </row>
    <row r="43" spans="1:14" x14ac:dyDescent="0.25">
      <c r="A43" s="110"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29</v>
      </c>
      <c r="F43" s="7">
        <f ca="1">OFFSET(CampList[Total],MATCH(Table10[[#This Row],[Pcode]],CampList[CP_Pcode],0)-1,0,1,1)</f>
        <v>138</v>
      </c>
      <c r="G43" s="116">
        <f>SUMIF('NFI Distributions'!AS$38:AS$1048576,Table10[[#This Row],[Pcode]],'NFI Distributions'!AK$38:AK$1048576)</f>
        <v>0</v>
      </c>
      <c r="H43" s="116">
        <f>SUMIF('NFI Distributions'!AS$38:AS$1048576,Table10[[#This Row],[Pcode]],'NFI Distributions'!AL$38:AL$1048576)</f>
        <v>0</v>
      </c>
      <c r="I43" s="116">
        <f>SUMIF('NFI Distributions'!AS$38:AS$1048576,Table10[[#This Row],[Pcode]],'NFI Distributions'!AM$38:AM$1048576)</f>
        <v>0</v>
      </c>
      <c r="J43" s="116">
        <f ca="1">MAX(Table10[[#This Row],[HH]]*VLOOKUP("Winter Clothes Adult",NFI,6)-Table10[[#This Row],[Winter Clothes Adult ]],0)</f>
        <v>58</v>
      </c>
      <c r="K43" s="116">
        <f ca="1">MAX(Table10[[#This Row],[HH]]*VLOOKUP("Winter Clothes Children ",NFI,6)-Table10[[#This Row],[Winter Clothes Children ]],0)</f>
        <v>29</v>
      </c>
      <c r="L43" s="116">
        <f ca="1">MAX(Table10[[#This Row],[HH]]*VLOOKUP("Winter Items Other ",NFI,6)-Table10[[#This Row],[Winter Items Other ]],0)</f>
        <v>29</v>
      </c>
      <c r="M43" s="129" t="str">
        <f>IF(OR(Table10[[#This Row],[Winter Clothes Adult ]]&lt;&gt;0,Table10[[#This Row],[Winter Clothes Children ]]&lt;&gt;0,Table10[[#This Row],[Winter Items Other ]]&lt;&gt;0),"No","")</f>
        <v/>
      </c>
      <c r="N43" s="130">
        <f>COUNTIF(A:A,Table10[[#This Row],[Pcode]])-1</f>
        <v>0</v>
      </c>
    </row>
    <row r="44" spans="1:14" x14ac:dyDescent="0.25">
      <c r="A44" s="110" t="s">
        <v>383</v>
      </c>
      <c r="B44" s="7" t="e">
        <f ca="1">OFFSET(#REF!,MATCH(Table10[[#This Row],[Pcode]],CampList[CP_Pcode],0)-1,0,1,1)</f>
        <v>#REF!</v>
      </c>
      <c r="C44" s="7" t="str">
        <f ca="1">OFFSET(CampList[Camp],MATCH(Table10[[#This Row],[Pcode]],CampList[CP_Pcode],0)-1,0,1,1)</f>
        <v>Mine Yu Lay village</v>
      </c>
      <c r="D44" s="7" t="str">
        <f ca="1">OFFSET(CampList[Township],MATCH(Table10[[#This Row],[Pcode]],CampList[CP_Pcode],0)-1,0,1,1)</f>
        <v>Kutkai</v>
      </c>
      <c r="E44" s="7">
        <f ca="1">OFFSET(CampList[HH],MATCH(Table10[[#This Row],[Pcode]],CampList[CP_Pcode],0)-1,0,1,1)</f>
        <v>68</v>
      </c>
      <c r="F44" s="7">
        <f ca="1">OFFSET(CampList[Total],MATCH(Table10[[#This Row],[Pcode]],CampList[CP_Pcode],0)-1,0,1,1)</f>
        <v>310</v>
      </c>
      <c r="G44" s="116">
        <f>SUMIF('NFI Distributions'!AS$38:AS$1048576,Table10[[#This Row],[Pcode]],'NFI Distributions'!AK$38:AK$1048576)</f>
        <v>0</v>
      </c>
      <c r="H44" s="116">
        <f>SUMIF('NFI Distributions'!AS$38:AS$1048576,Table10[[#This Row],[Pcode]],'NFI Distributions'!AL$38:AL$1048576)</f>
        <v>0</v>
      </c>
      <c r="I44" s="116">
        <f>SUMIF('NFI Distributions'!AS$38:AS$1048576,Table10[[#This Row],[Pcode]],'NFI Distributions'!AM$38:AM$1048576)</f>
        <v>0</v>
      </c>
      <c r="J44" s="116">
        <f ca="1">MAX(Table10[[#This Row],[HH]]*VLOOKUP("Winter Clothes Adult",NFI,6)-Table10[[#This Row],[Winter Clothes Adult ]],0)</f>
        <v>136</v>
      </c>
      <c r="K44" s="116">
        <f ca="1">MAX(Table10[[#This Row],[HH]]*VLOOKUP("Winter Clothes Children ",NFI,6)-Table10[[#This Row],[Winter Clothes Children ]],0)</f>
        <v>68</v>
      </c>
      <c r="L44" s="116">
        <f ca="1">MAX(Table10[[#This Row],[HH]]*VLOOKUP("Winter Items Other ",NFI,6)-Table10[[#This Row],[Winter Items Other ]],0)</f>
        <v>68</v>
      </c>
      <c r="M44" s="129" t="str">
        <f>IF(OR(Table10[[#This Row],[Winter Clothes Adult ]]&lt;&gt;0,Table10[[#This Row],[Winter Clothes Children ]]&lt;&gt;0,Table10[[#This Row],[Winter Items Other ]]&lt;&gt;0),"No","")</f>
        <v/>
      </c>
      <c r="N44" s="130">
        <f>COUNTIF(A:A,Table10[[#This Row],[Pcode]])-1</f>
        <v>0</v>
      </c>
    </row>
    <row r="45" spans="1:14" x14ac:dyDescent="0.25">
      <c r="A45" s="110"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262</v>
      </c>
      <c r="G45" s="116">
        <f>SUMIF('NFI Distributions'!AS$38:AS$1048576,Table10[[#This Row],[Pcode]],'NFI Distributions'!AK$38:AK$1048576)</f>
        <v>0</v>
      </c>
      <c r="H45" s="116">
        <f>SUMIF('NFI Distributions'!AS$38:AS$1048576,Table10[[#This Row],[Pcode]],'NFI Distributions'!AL$38:AL$1048576)</f>
        <v>0</v>
      </c>
      <c r="I45" s="116">
        <f>SUMIF('NFI Distributions'!AS$38:AS$1048576,Table10[[#This Row],[Pcode]],'NFI Distributions'!AM$38:AM$1048576)</f>
        <v>0</v>
      </c>
      <c r="J45" s="116">
        <f ca="1">MAX(Table10[[#This Row],[HH]]*VLOOKUP("Winter Clothes Adult",NFI,6)-Table10[[#This Row],[Winter Clothes Adult ]],0)</f>
        <v>114</v>
      </c>
      <c r="K45" s="116">
        <f ca="1">MAX(Table10[[#This Row],[HH]]*VLOOKUP("Winter Clothes Children ",NFI,6)-Table10[[#This Row],[Winter Clothes Children ]],0)</f>
        <v>57</v>
      </c>
      <c r="L45" s="116">
        <f ca="1">MAX(Table10[[#This Row],[HH]]*VLOOKUP("Winter Items Other ",NFI,6)-Table10[[#This Row],[Winter Items Other ]],0)</f>
        <v>57</v>
      </c>
      <c r="M45" s="129" t="str">
        <f>IF(OR(Table10[[#This Row],[Winter Clothes Adult ]]&lt;&gt;0,Table10[[#This Row],[Winter Clothes Children ]]&lt;&gt;0,Table10[[#This Row],[Winter Items Other ]]&lt;&gt;0),"No","")</f>
        <v/>
      </c>
      <c r="N45" s="130">
        <f>COUNTIF(A:A,Table10[[#This Row],[Pcode]])-1</f>
        <v>0</v>
      </c>
    </row>
    <row r="46" spans="1:14" x14ac:dyDescent="0.25">
      <c r="A46" s="110"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187</v>
      </c>
      <c r="F46" s="7">
        <f ca="1">OFFSET(CampList[Total],MATCH(Table10[[#This Row],[Pcode]],CampList[CP_Pcode],0)-1,0,1,1)</f>
        <v>971</v>
      </c>
      <c r="G46" s="116">
        <f>SUMIF('NFI Distributions'!AS$38:AS$1048576,Table10[[#This Row],[Pcode]],'NFI Distributions'!AK$38:AK$1048576)</f>
        <v>0</v>
      </c>
      <c r="H46" s="116">
        <f>SUMIF('NFI Distributions'!AS$38:AS$1048576,Table10[[#This Row],[Pcode]],'NFI Distributions'!AL$38:AL$1048576)</f>
        <v>0</v>
      </c>
      <c r="I46" s="116">
        <f>SUMIF('NFI Distributions'!AS$38:AS$1048576,Table10[[#This Row],[Pcode]],'NFI Distributions'!AM$38:AM$1048576)</f>
        <v>0</v>
      </c>
      <c r="J46" s="116">
        <f ca="1">MAX(Table10[[#This Row],[HH]]*VLOOKUP("Winter Clothes Adult",NFI,6)-Table10[[#This Row],[Winter Clothes Adult ]],0)</f>
        <v>374</v>
      </c>
      <c r="K46" s="116">
        <f ca="1">MAX(Table10[[#This Row],[HH]]*VLOOKUP("Winter Clothes Children ",NFI,6)-Table10[[#This Row],[Winter Clothes Children ]],0)</f>
        <v>187</v>
      </c>
      <c r="L46" s="116">
        <f ca="1">MAX(Table10[[#This Row],[HH]]*VLOOKUP("Winter Items Other ",NFI,6)-Table10[[#This Row],[Winter Items Other ]],0)</f>
        <v>187</v>
      </c>
      <c r="M46" s="129" t="str">
        <f>IF(OR(Table10[[#This Row],[Winter Clothes Adult ]]&lt;&gt;0,Table10[[#This Row],[Winter Clothes Children ]]&lt;&gt;0,Table10[[#This Row],[Winter Items Other ]]&lt;&gt;0),"No","")</f>
        <v/>
      </c>
      <c r="N46" s="130">
        <f>COUNTIF(A:A,Table10[[#This Row],[Pcode]])-1</f>
        <v>0</v>
      </c>
    </row>
    <row r="47" spans="1:14" x14ac:dyDescent="0.25">
      <c r="A47" s="110" t="s">
        <v>763</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168</v>
      </c>
      <c r="G47" s="116">
        <f>SUMIF('NFI Distributions'!AS$38:AS$1048576,Table10[[#This Row],[Pcode]],'NFI Distributions'!AK$38:AK$1048576)</f>
        <v>0</v>
      </c>
      <c r="H47" s="116">
        <f>SUMIF('NFI Distributions'!AS$38:AS$1048576,Table10[[#This Row],[Pcode]],'NFI Distributions'!AL$38:AL$1048576)</f>
        <v>0</v>
      </c>
      <c r="I47" s="116">
        <f>SUMIF('NFI Distributions'!AS$38:AS$1048576,Table10[[#This Row],[Pcode]],'NFI Distributions'!AM$38:AM$1048576)</f>
        <v>0</v>
      </c>
      <c r="J47" s="116">
        <f ca="1">MAX(Table10[[#This Row],[HH]]*VLOOKUP("Winter Clothes Adult",NFI,6)-Table10[[#This Row],[Winter Clothes Adult ]],0)</f>
        <v>58</v>
      </c>
      <c r="K47" s="116">
        <f ca="1">MAX(Table10[[#This Row],[HH]]*VLOOKUP("Winter Clothes Children ",NFI,6)-Table10[[#This Row],[Winter Clothes Children ]],0)</f>
        <v>29</v>
      </c>
      <c r="L47" s="116">
        <f ca="1">MAX(Table10[[#This Row],[HH]]*VLOOKUP("Winter Items Other ",NFI,6)-Table10[[#This Row],[Winter Items Other ]],0)</f>
        <v>29</v>
      </c>
      <c r="M47" s="129" t="str">
        <f>IF(OR(Table10[[#This Row],[Winter Clothes Adult ]]&lt;&gt;0,Table10[[#This Row],[Winter Clothes Children ]]&lt;&gt;0,Table10[[#This Row],[Winter Items Other ]]&lt;&gt;0),"No","")</f>
        <v/>
      </c>
      <c r="N47" s="130">
        <f>COUNTIF(A:A,Table10[[#This Row],[Pcode]])-1</f>
        <v>0</v>
      </c>
    </row>
    <row r="48" spans="1:14" x14ac:dyDescent="0.25">
      <c r="A48" s="110"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16">
        <f>SUMIF('NFI Distributions'!AS$38:AS$1048576,Table10[[#This Row],[Pcode]],'NFI Distributions'!AK$38:AK$1048576)</f>
        <v>0</v>
      </c>
      <c r="H48" s="116">
        <f>SUMIF('NFI Distributions'!AS$38:AS$1048576,Table10[[#This Row],[Pcode]],'NFI Distributions'!AL$38:AL$1048576)</f>
        <v>0</v>
      </c>
      <c r="I48" s="116">
        <f>SUMIF('NFI Distributions'!AS$38:AS$1048576,Table10[[#This Row],[Pcode]],'NFI Distributions'!AM$38:AM$1048576)</f>
        <v>0</v>
      </c>
      <c r="J48" s="116">
        <f ca="1">MAX(Table10[[#This Row],[HH]]*VLOOKUP("Winter Clothes Adult",NFI,6)-Table10[[#This Row],[Winter Clothes Adult ]],0)</f>
        <v>0</v>
      </c>
      <c r="K48" s="116">
        <f ca="1">MAX(Table10[[#This Row],[HH]]*VLOOKUP("Winter Clothes Children ",NFI,6)-Table10[[#This Row],[Winter Clothes Children ]],0)</f>
        <v>0</v>
      </c>
      <c r="L48" s="116">
        <f ca="1">MAX(Table10[[#This Row],[HH]]*VLOOKUP("Winter Items Other ",NFI,6)-Table10[[#This Row],[Winter Items Other ]],0)</f>
        <v>0</v>
      </c>
      <c r="M48" s="129" t="str">
        <f>IF(OR(Table10[[#This Row],[Winter Clothes Adult ]]&lt;&gt;0,Table10[[#This Row],[Winter Clothes Children ]]&lt;&gt;0,Table10[[#This Row],[Winter Items Other ]]&lt;&gt;0),"No","")</f>
        <v/>
      </c>
      <c r="N48" s="130">
        <f>COUNTIF(A:A,Table10[[#This Row],[Pcode]])-1</f>
        <v>0</v>
      </c>
    </row>
    <row r="49" spans="1:14" x14ac:dyDescent="0.25">
      <c r="A49" s="110"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16">
        <f>SUMIF('NFI Distributions'!AS$38:AS$1048576,Table10[[#This Row],[Pcode]],'NFI Distributions'!AK$38:AK$1048576)</f>
        <v>0</v>
      </c>
      <c r="H49" s="116">
        <f>SUMIF('NFI Distributions'!AS$38:AS$1048576,Table10[[#This Row],[Pcode]],'NFI Distributions'!AL$38:AL$1048576)</f>
        <v>0</v>
      </c>
      <c r="I49" s="116">
        <f>SUMIF('NFI Distributions'!AS$38:AS$1048576,Table10[[#This Row],[Pcode]],'NFI Distributions'!AM$38:AM$1048576)</f>
        <v>0</v>
      </c>
      <c r="J49" s="116">
        <f ca="1">MAX(Table10[[#This Row],[HH]]*VLOOKUP("Winter Clothes Adult",NFI,6)-Table10[[#This Row],[Winter Clothes Adult ]],0)</f>
        <v>0</v>
      </c>
      <c r="K49" s="116">
        <f ca="1">MAX(Table10[[#This Row],[HH]]*VLOOKUP("Winter Clothes Children ",NFI,6)-Table10[[#This Row],[Winter Clothes Children ]],0)</f>
        <v>0</v>
      </c>
      <c r="L49" s="116">
        <f ca="1">MAX(Table10[[#This Row],[HH]]*VLOOKUP("Winter Items Other ",NFI,6)-Table10[[#This Row],[Winter Items Other ]],0)</f>
        <v>0</v>
      </c>
      <c r="M49" s="129" t="str">
        <f>IF(OR(Table10[[#This Row],[Winter Clothes Adult ]]&lt;&gt;0,Table10[[#This Row],[Winter Clothes Children ]]&lt;&gt;0,Table10[[#This Row],[Winter Items Other ]]&lt;&gt;0),"No","")</f>
        <v/>
      </c>
      <c r="N49" s="130">
        <f>COUNTIF(A:A,Table10[[#This Row],[Pcode]])-1</f>
        <v>0</v>
      </c>
    </row>
    <row r="50" spans="1:14" x14ac:dyDescent="0.25">
      <c r="A50" s="110"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75</v>
      </c>
      <c r="F50" s="7">
        <f ca="1">OFFSET(CampList[Total],MATCH(Table10[[#This Row],[Pcode]],CampList[CP_Pcode],0)-1,0,1,1)</f>
        <v>394</v>
      </c>
      <c r="G50" s="116">
        <f>SUMIF('NFI Distributions'!AS$38:AS$1048576,Table10[[#This Row],[Pcode]],'NFI Distributions'!AK$38:AK$1048576)</f>
        <v>0</v>
      </c>
      <c r="H50" s="116">
        <f>SUMIF('NFI Distributions'!AS$38:AS$1048576,Table10[[#This Row],[Pcode]],'NFI Distributions'!AL$38:AL$1048576)</f>
        <v>0</v>
      </c>
      <c r="I50" s="116">
        <f>SUMIF('NFI Distributions'!AS$38:AS$1048576,Table10[[#This Row],[Pcode]],'NFI Distributions'!AM$38:AM$1048576)</f>
        <v>0</v>
      </c>
      <c r="J50" s="116">
        <f ca="1">MAX(Table10[[#This Row],[HH]]*VLOOKUP("Winter Clothes Adult",NFI,6)-Table10[[#This Row],[Winter Clothes Adult ]],0)</f>
        <v>150</v>
      </c>
      <c r="K50" s="116">
        <f ca="1">MAX(Table10[[#This Row],[HH]]*VLOOKUP("Winter Clothes Children ",NFI,6)-Table10[[#This Row],[Winter Clothes Children ]],0)</f>
        <v>75</v>
      </c>
      <c r="L50" s="116">
        <f ca="1">MAX(Table10[[#This Row],[HH]]*VLOOKUP("Winter Items Other ",NFI,6)-Table10[[#This Row],[Winter Items Other ]],0)</f>
        <v>75</v>
      </c>
      <c r="M50" s="129" t="str">
        <f>IF(OR(Table10[[#This Row],[Winter Clothes Adult ]]&lt;&gt;0,Table10[[#This Row],[Winter Clothes Children ]]&lt;&gt;0,Table10[[#This Row],[Winter Items Other ]]&lt;&gt;0),"No","")</f>
        <v/>
      </c>
      <c r="N50" s="130">
        <f>COUNTIF(A:A,Table10[[#This Row],[Pcode]])-1</f>
        <v>0</v>
      </c>
    </row>
    <row r="51" spans="1:14" x14ac:dyDescent="0.25">
      <c r="A51" s="110"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350</v>
      </c>
      <c r="G51" s="116">
        <f>SUMIF('NFI Distributions'!AS$38:AS$1048576,Table10[[#This Row],[Pcode]],'NFI Distributions'!AK$38:AK$1048576)</f>
        <v>0</v>
      </c>
      <c r="H51" s="116">
        <f>SUMIF('NFI Distributions'!AS$38:AS$1048576,Table10[[#This Row],[Pcode]],'NFI Distributions'!AL$38:AL$1048576)</f>
        <v>0</v>
      </c>
      <c r="I51" s="116">
        <f>SUMIF('NFI Distributions'!AS$38:AS$1048576,Table10[[#This Row],[Pcode]],'NFI Distributions'!AM$38:AM$1048576)</f>
        <v>0</v>
      </c>
      <c r="J51" s="116">
        <f ca="1">MAX(Table10[[#This Row],[HH]]*VLOOKUP("Winter Clothes Adult",NFI,6)-Table10[[#This Row],[Winter Clothes Adult ]],0)</f>
        <v>132</v>
      </c>
      <c r="K51" s="116">
        <f ca="1">MAX(Table10[[#This Row],[HH]]*VLOOKUP("Winter Clothes Children ",NFI,6)-Table10[[#This Row],[Winter Clothes Children ]],0)</f>
        <v>66</v>
      </c>
      <c r="L51" s="116">
        <f ca="1">MAX(Table10[[#This Row],[HH]]*VLOOKUP("Winter Items Other ",NFI,6)-Table10[[#This Row],[Winter Items Other ]],0)</f>
        <v>66</v>
      </c>
      <c r="M51" s="129" t="str">
        <f>IF(OR(Table10[[#This Row],[Winter Clothes Adult ]]&lt;&gt;0,Table10[[#This Row],[Winter Clothes Children ]]&lt;&gt;0,Table10[[#This Row],[Winter Items Other ]]&lt;&gt;0),"No","")</f>
        <v/>
      </c>
      <c r="N51" s="130">
        <f>COUNTIF(A:A,Table10[[#This Row],[Pcode]])-1</f>
        <v>0</v>
      </c>
    </row>
    <row r="52" spans="1:14" x14ac:dyDescent="0.25">
      <c r="A52" s="110"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218</v>
      </c>
      <c r="G52" s="116">
        <f>SUMIF('NFI Distributions'!AS$38:AS$1048576,Table10[[#This Row],[Pcode]],'NFI Distributions'!AK$38:AK$1048576)</f>
        <v>0</v>
      </c>
      <c r="H52" s="116">
        <f>SUMIF('NFI Distributions'!AS$38:AS$1048576,Table10[[#This Row],[Pcode]],'NFI Distributions'!AL$38:AL$1048576)</f>
        <v>0</v>
      </c>
      <c r="I52" s="116">
        <f>SUMIF('NFI Distributions'!AS$38:AS$1048576,Table10[[#This Row],[Pcode]],'NFI Distributions'!AM$38:AM$1048576)</f>
        <v>0</v>
      </c>
      <c r="J52" s="116">
        <f ca="1">MAX(Table10[[#This Row],[HH]]*VLOOKUP("Winter Clothes Adult",NFI,6)-Table10[[#This Row],[Winter Clothes Adult ]],0)</f>
        <v>88</v>
      </c>
      <c r="K52" s="116">
        <f ca="1">MAX(Table10[[#This Row],[HH]]*VLOOKUP("Winter Clothes Children ",NFI,6)-Table10[[#This Row],[Winter Clothes Children ]],0)</f>
        <v>44</v>
      </c>
      <c r="L52" s="116">
        <f ca="1">MAX(Table10[[#This Row],[HH]]*VLOOKUP("Winter Items Other ",NFI,6)-Table10[[#This Row],[Winter Items Other ]],0)</f>
        <v>44</v>
      </c>
      <c r="M52" s="129" t="str">
        <f>IF(OR(Table10[[#This Row],[Winter Clothes Adult ]]&lt;&gt;0,Table10[[#This Row],[Winter Clothes Children ]]&lt;&gt;0,Table10[[#This Row],[Winter Items Other ]]&lt;&gt;0),"No","")</f>
        <v/>
      </c>
      <c r="N52" s="130">
        <f>COUNTIF(A:A,Table10[[#This Row],[Pcode]])-1</f>
        <v>0</v>
      </c>
    </row>
    <row r="53" spans="1:14" x14ac:dyDescent="0.25">
      <c r="A53" s="110"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45</v>
      </c>
      <c r="F53" s="7">
        <f ca="1">OFFSET(CampList[Total],MATCH(Table10[[#This Row],[Pcode]],CampList[CP_Pcode],0)-1,0,1,1)</f>
        <v>195</v>
      </c>
      <c r="G53" s="116">
        <f>SUMIF('NFI Distributions'!AS$38:AS$1048576,Table10[[#This Row],[Pcode]],'NFI Distributions'!AK$38:AK$1048576)</f>
        <v>0</v>
      </c>
      <c r="H53" s="116">
        <f>SUMIF('NFI Distributions'!AS$38:AS$1048576,Table10[[#This Row],[Pcode]],'NFI Distributions'!AL$38:AL$1048576)</f>
        <v>0</v>
      </c>
      <c r="I53" s="116">
        <f>SUMIF('NFI Distributions'!AS$38:AS$1048576,Table10[[#This Row],[Pcode]],'NFI Distributions'!AM$38:AM$1048576)</f>
        <v>0</v>
      </c>
      <c r="J53" s="116">
        <f ca="1">MAX(Table10[[#This Row],[HH]]*VLOOKUP("Winter Clothes Adult",NFI,6)-Table10[[#This Row],[Winter Clothes Adult ]],0)</f>
        <v>90</v>
      </c>
      <c r="K53" s="116">
        <f ca="1">MAX(Table10[[#This Row],[HH]]*VLOOKUP("Winter Clothes Children ",NFI,6)-Table10[[#This Row],[Winter Clothes Children ]],0)</f>
        <v>45</v>
      </c>
      <c r="L53" s="116">
        <f ca="1">MAX(Table10[[#This Row],[HH]]*VLOOKUP("Winter Items Other ",NFI,6)-Table10[[#This Row],[Winter Items Other ]],0)</f>
        <v>45</v>
      </c>
      <c r="M53" s="129" t="str">
        <f>IF(OR(Table10[[#This Row],[Winter Clothes Adult ]]&lt;&gt;0,Table10[[#This Row],[Winter Clothes Children ]]&lt;&gt;0,Table10[[#This Row],[Winter Items Other ]]&lt;&gt;0),"No","")</f>
        <v/>
      </c>
      <c r="N53" s="130">
        <f>COUNTIF(A:A,Table10[[#This Row],[Pcode]])-1</f>
        <v>0</v>
      </c>
    </row>
    <row r="54" spans="1:14" x14ac:dyDescent="0.25">
      <c r="A54" s="110" t="s">
        <v>764</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16">
        <f>SUMIF('NFI Distributions'!AS$38:AS$1048576,Table10[[#This Row],[Pcode]],'NFI Distributions'!AK$38:AK$1048576)</f>
        <v>0</v>
      </c>
      <c r="H54" s="116">
        <f>SUMIF('NFI Distributions'!AS$38:AS$1048576,Table10[[#This Row],[Pcode]],'NFI Distributions'!AL$38:AL$1048576)</f>
        <v>0</v>
      </c>
      <c r="I54" s="116">
        <f>SUMIF('NFI Distributions'!AS$38:AS$1048576,Table10[[#This Row],[Pcode]],'NFI Distributions'!AM$38:AM$1048576)</f>
        <v>0</v>
      </c>
      <c r="J54" s="116">
        <f ca="1">MAX(Table10[[#This Row],[HH]]*VLOOKUP("Winter Clothes Adult",NFI,6)-Table10[[#This Row],[Winter Clothes Adult ]],0)</f>
        <v>236</v>
      </c>
      <c r="K54" s="116">
        <f ca="1">MAX(Table10[[#This Row],[HH]]*VLOOKUP("Winter Clothes Children ",NFI,6)-Table10[[#This Row],[Winter Clothes Children ]],0)</f>
        <v>118</v>
      </c>
      <c r="L54" s="116">
        <f ca="1">MAX(Table10[[#This Row],[HH]]*VLOOKUP("Winter Items Other ",NFI,6)-Table10[[#This Row],[Winter Items Other ]],0)</f>
        <v>118</v>
      </c>
      <c r="M54" s="129" t="str">
        <f>IF(OR(Table10[[#This Row],[Winter Clothes Adult ]]&lt;&gt;0,Table10[[#This Row],[Winter Clothes Children ]]&lt;&gt;0,Table10[[#This Row],[Winter Items Other ]]&lt;&gt;0),"No","")</f>
        <v/>
      </c>
      <c r="N54" s="130">
        <f>COUNTIF(A:A,Table10[[#This Row],[Pcode]])-1</f>
        <v>0</v>
      </c>
    </row>
    <row r="55" spans="1:14" x14ac:dyDescent="0.25">
      <c r="A55" s="110"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16">
        <f ca="1">OFFSET(CampList[HH],MATCH(Table10[[#This Row],[Pcode]],CampList[CP_Pcode],0)-1,0,1,1)</f>
        <v>0</v>
      </c>
      <c r="F55" s="116">
        <f ca="1">OFFSET(CampList[Total],MATCH(Table10[[#This Row],[Pcode]],CampList[CP_Pcode],0)-1,0,1,1)</f>
        <v>0</v>
      </c>
      <c r="G55" s="116">
        <f>SUMIF('NFI Distributions'!AS$38:AS$1048576,Table10[[#This Row],[Pcode]],'NFI Distributions'!AK$38:AK$1048576)</f>
        <v>0</v>
      </c>
      <c r="H55" s="116">
        <f>SUMIF('NFI Distributions'!AS$38:AS$1048576,Table10[[#This Row],[Pcode]],'NFI Distributions'!AL$38:AL$1048576)</f>
        <v>0</v>
      </c>
      <c r="I55" s="116">
        <f>SUMIF('NFI Distributions'!AS$38:AS$1048576,Table10[[#This Row],[Pcode]],'NFI Distributions'!AM$38:AM$1048576)</f>
        <v>0</v>
      </c>
      <c r="J55" s="116">
        <f ca="1">MAX(Table10[[#This Row],[HH]]*VLOOKUP("Winter Clothes Adult",NFI,6)-Table10[[#This Row],[Winter Clothes Adult ]],0)</f>
        <v>0</v>
      </c>
      <c r="K55" s="116">
        <f ca="1">MAX(Table10[[#This Row],[HH]]*VLOOKUP("Winter Clothes Children ",NFI,6)-Table10[[#This Row],[Winter Clothes Children ]],0)</f>
        <v>0</v>
      </c>
      <c r="L55" s="116">
        <f ca="1">MAX(Table10[[#This Row],[HH]]*VLOOKUP("Winter Items Other ",NFI,6)-Table10[[#This Row],[Winter Items Other ]],0)</f>
        <v>0</v>
      </c>
      <c r="M55" s="129" t="str">
        <f>IF(OR(Table10[[#This Row],[Winter Clothes Adult ]]&lt;&gt;0,Table10[[#This Row],[Winter Clothes Children ]]&lt;&gt;0,Table10[[#This Row],[Winter Items Other ]]&lt;&gt;0),"No","")</f>
        <v/>
      </c>
      <c r="N55" s="130">
        <f>COUNTIF(A:A,Table10[[#This Row],[Pcode]])-1</f>
        <v>0</v>
      </c>
    </row>
    <row r="56" spans="1:14" x14ac:dyDescent="0.25">
      <c r="A56" s="110"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16">
        <f ca="1">OFFSET(CampList[HH],MATCH(Table10[[#This Row],[Pcode]],CampList[CP_Pcode],0)-1,0,1,1)</f>
        <v>70</v>
      </c>
      <c r="F56" s="116">
        <f ca="1">OFFSET(CampList[Total],MATCH(Table10[[#This Row],[Pcode]],CampList[CP_Pcode],0)-1,0,1,1)</f>
        <v>350</v>
      </c>
      <c r="G56" s="116">
        <f>SUMIF('NFI Distributions'!AS$38:AS$1048576,Table10[[#This Row],[Pcode]],'NFI Distributions'!AK$38:AK$1048576)</f>
        <v>0</v>
      </c>
      <c r="H56" s="116">
        <f>SUMIF('NFI Distributions'!AS$38:AS$1048576,Table10[[#This Row],[Pcode]],'NFI Distributions'!AL$38:AL$1048576)</f>
        <v>0</v>
      </c>
      <c r="I56" s="116">
        <f>SUMIF('NFI Distributions'!AS$38:AS$1048576,Table10[[#This Row],[Pcode]],'NFI Distributions'!AM$38:AM$1048576)</f>
        <v>0</v>
      </c>
      <c r="J56" s="116">
        <f ca="1">MAX(Table10[[#This Row],[HH]]*VLOOKUP("Winter Clothes Adult",NFI,6)-Table10[[#This Row],[Winter Clothes Adult ]],0)</f>
        <v>140</v>
      </c>
      <c r="K56" s="116">
        <f ca="1">MAX(Table10[[#This Row],[HH]]*VLOOKUP("Winter Clothes Children ",NFI,6)-Table10[[#This Row],[Winter Clothes Children ]],0)</f>
        <v>70</v>
      </c>
      <c r="L56" s="116">
        <f ca="1">MAX(Table10[[#This Row],[HH]]*VLOOKUP("Winter Items Other ",NFI,6)-Table10[[#This Row],[Winter Items Other ]],0)</f>
        <v>70</v>
      </c>
      <c r="M56" s="129" t="str">
        <f>IF(OR(Table10[[#This Row],[Winter Clothes Adult ]]&lt;&gt;0,Table10[[#This Row],[Winter Clothes Children ]]&lt;&gt;0,Table10[[#This Row],[Winter Items Other ]]&lt;&gt;0),"No","")</f>
        <v/>
      </c>
      <c r="N56" s="130">
        <f>COUNTIF(A:A,Table10[[#This Row],[Pcode]])-1</f>
        <v>0</v>
      </c>
    </row>
    <row r="57" spans="1:14" x14ac:dyDescent="0.25">
      <c r="A57" s="110"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16">
        <f ca="1">OFFSET(CampList[HH],MATCH(Table10[[#This Row],[Pcode]],CampList[CP_Pcode],0)-1,0,1,1)</f>
        <v>257</v>
      </c>
      <c r="F57" s="116">
        <f ca="1">OFFSET(CampList[Total],MATCH(Table10[[#This Row],[Pcode]],CampList[CP_Pcode],0)-1,0,1,1)</f>
        <v>1266</v>
      </c>
      <c r="G57" s="116">
        <f>SUMIF('NFI Distributions'!AS$38:AS$1048576,Table10[[#This Row],[Pcode]],'NFI Distributions'!AK$38:AK$1048576)</f>
        <v>0</v>
      </c>
      <c r="H57" s="116">
        <f>SUMIF('NFI Distributions'!AS$38:AS$1048576,Table10[[#This Row],[Pcode]],'NFI Distributions'!AL$38:AL$1048576)</f>
        <v>0</v>
      </c>
      <c r="I57" s="116">
        <f>SUMIF('NFI Distributions'!AS$38:AS$1048576,Table10[[#This Row],[Pcode]],'NFI Distributions'!AM$38:AM$1048576)</f>
        <v>0</v>
      </c>
      <c r="J57" s="116">
        <f ca="1">MAX(Table10[[#This Row],[HH]]*VLOOKUP("Winter Clothes Adult",NFI,6)-Table10[[#This Row],[Winter Clothes Adult ]],0)</f>
        <v>514</v>
      </c>
      <c r="K57" s="116">
        <f ca="1">MAX(Table10[[#This Row],[HH]]*VLOOKUP("Winter Clothes Children ",NFI,6)-Table10[[#This Row],[Winter Clothes Children ]],0)</f>
        <v>257</v>
      </c>
      <c r="L57" s="116">
        <f ca="1">MAX(Table10[[#This Row],[HH]]*VLOOKUP("Winter Items Other ",NFI,6)-Table10[[#This Row],[Winter Items Other ]],0)</f>
        <v>257</v>
      </c>
      <c r="M57" s="129" t="str">
        <f>IF(OR(Table10[[#This Row],[Winter Clothes Adult ]]&lt;&gt;0,Table10[[#This Row],[Winter Clothes Children ]]&lt;&gt;0,Table10[[#This Row],[Winter Items Other ]]&lt;&gt;0),"No","")</f>
        <v/>
      </c>
      <c r="N57" s="130">
        <f>COUNTIF(A:A,Table10[[#This Row],[Pcode]])-1</f>
        <v>0</v>
      </c>
    </row>
    <row r="58" spans="1:14" x14ac:dyDescent="0.25">
      <c r="A58" s="110"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16">
        <f ca="1">OFFSET(CampList[HH],MATCH(Table10[[#This Row],[Pcode]],CampList[CP_Pcode],0)-1,0,1,1)</f>
        <v>65</v>
      </c>
      <c r="F58" s="116">
        <f ca="1">OFFSET(CampList[Total],MATCH(Table10[[#This Row],[Pcode]],CampList[CP_Pcode],0)-1,0,1,1)</f>
        <v>350</v>
      </c>
      <c r="G58" s="116">
        <f>SUMIF('NFI Distributions'!AS$38:AS$1048576,Table10[[#This Row],[Pcode]],'NFI Distributions'!AK$38:AK$1048576)</f>
        <v>0</v>
      </c>
      <c r="H58" s="116">
        <f>SUMIF('NFI Distributions'!AS$38:AS$1048576,Table10[[#This Row],[Pcode]],'NFI Distributions'!AL$38:AL$1048576)</f>
        <v>0</v>
      </c>
      <c r="I58" s="116">
        <f>SUMIF('NFI Distributions'!AS$38:AS$1048576,Table10[[#This Row],[Pcode]],'NFI Distributions'!AM$38:AM$1048576)</f>
        <v>0</v>
      </c>
      <c r="J58" s="116">
        <f ca="1">MAX(Table10[[#This Row],[HH]]*VLOOKUP("Winter Clothes Adult",NFI,6)-Table10[[#This Row],[Winter Clothes Adult ]],0)</f>
        <v>130</v>
      </c>
      <c r="K58" s="116">
        <f ca="1">MAX(Table10[[#This Row],[HH]]*VLOOKUP("Winter Clothes Children ",NFI,6)-Table10[[#This Row],[Winter Clothes Children ]],0)</f>
        <v>65</v>
      </c>
      <c r="L58" s="116">
        <f ca="1">MAX(Table10[[#This Row],[HH]]*VLOOKUP("Winter Items Other ",NFI,6)-Table10[[#This Row],[Winter Items Other ]],0)</f>
        <v>65</v>
      </c>
      <c r="M58" s="129" t="str">
        <f>IF(OR(Table10[[#This Row],[Winter Clothes Adult ]]&lt;&gt;0,Table10[[#This Row],[Winter Clothes Children ]]&lt;&gt;0,Table10[[#This Row],[Winter Items Other ]]&lt;&gt;0),"No","")</f>
        <v/>
      </c>
      <c r="N58" s="130">
        <f>COUNTIF(A:A,Table10[[#This Row],[Pcode]])-1</f>
        <v>0</v>
      </c>
    </row>
    <row r="59" spans="1:14" x14ac:dyDescent="0.25">
      <c r="A59" s="110"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16">
        <f ca="1">OFFSET(CampList[HH],MATCH(Table10[[#This Row],[Pcode]],CampList[CP_Pcode],0)-1,0,1,1)</f>
        <v>14</v>
      </c>
      <c r="F59" s="116">
        <f ca="1">OFFSET(CampList[Total],MATCH(Table10[[#This Row],[Pcode]],CampList[CP_Pcode],0)-1,0,1,1)</f>
        <v>81</v>
      </c>
      <c r="G59" s="116">
        <f>SUMIF('NFI Distributions'!AS$38:AS$1048576,Table10[[#This Row],[Pcode]],'NFI Distributions'!AK$38:AK$1048576)</f>
        <v>0</v>
      </c>
      <c r="H59" s="116">
        <f>SUMIF('NFI Distributions'!AS$38:AS$1048576,Table10[[#This Row],[Pcode]],'NFI Distributions'!AL$38:AL$1048576)</f>
        <v>0</v>
      </c>
      <c r="I59" s="116">
        <f>SUMIF('NFI Distributions'!AS$38:AS$1048576,Table10[[#This Row],[Pcode]],'NFI Distributions'!AM$38:AM$1048576)</f>
        <v>0</v>
      </c>
      <c r="J59" s="116">
        <f ca="1">MAX(Table10[[#This Row],[HH]]*VLOOKUP("Winter Clothes Adult",NFI,6)-Table10[[#This Row],[Winter Clothes Adult ]],0)</f>
        <v>28</v>
      </c>
      <c r="K59" s="116">
        <f ca="1">MAX(Table10[[#This Row],[HH]]*VLOOKUP("Winter Clothes Children ",NFI,6)-Table10[[#This Row],[Winter Clothes Children ]],0)</f>
        <v>14</v>
      </c>
      <c r="L59" s="116">
        <f ca="1">MAX(Table10[[#This Row],[HH]]*VLOOKUP("Winter Items Other ",NFI,6)-Table10[[#This Row],[Winter Items Other ]],0)</f>
        <v>14</v>
      </c>
      <c r="M59" s="129" t="str">
        <f>IF(OR(Table10[[#This Row],[Winter Clothes Adult ]]&lt;&gt;0,Table10[[#This Row],[Winter Clothes Children ]]&lt;&gt;0,Table10[[#This Row],[Winter Items Other ]]&lt;&gt;0),"No","")</f>
        <v/>
      </c>
      <c r="N59" s="130">
        <f>COUNTIF(A:A,Table10[[#This Row],[Pcode]])-1</f>
        <v>0</v>
      </c>
    </row>
    <row r="60" spans="1:14" x14ac:dyDescent="0.25">
      <c r="A60" s="110"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16">
        <f ca="1">OFFSET(CampList[HH],MATCH(Table10[[#This Row],[Pcode]],CampList[CP_Pcode],0)-1,0,1,1)</f>
        <v>12</v>
      </c>
      <c r="F60" s="116">
        <f ca="1">OFFSET(CampList[Total],MATCH(Table10[[#This Row],[Pcode]],CampList[CP_Pcode],0)-1,0,1,1)</f>
        <v>53</v>
      </c>
      <c r="G60" s="116">
        <f>SUMIF('NFI Distributions'!AS$38:AS$1048576,Table10[[#This Row],[Pcode]],'NFI Distributions'!AK$38:AK$1048576)</f>
        <v>0</v>
      </c>
      <c r="H60" s="116">
        <f>SUMIF('NFI Distributions'!AS$38:AS$1048576,Table10[[#This Row],[Pcode]],'NFI Distributions'!AL$38:AL$1048576)</f>
        <v>0</v>
      </c>
      <c r="I60" s="116">
        <f>SUMIF('NFI Distributions'!AS$38:AS$1048576,Table10[[#This Row],[Pcode]],'NFI Distributions'!AM$38:AM$1048576)</f>
        <v>0</v>
      </c>
      <c r="J60" s="116">
        <f ca="1">MAX(Table10[[#This Row],[HH]]*VLOOKUP("Winter Clothes Adult",NFI,6)-Table10[[#This Row],[Winter Clothes Adult ]],0)</f>
        <v>24</v>
      </c>
      <c r="K60" s="116">
        <f ca="1">MAX(Table10[[#This Row],[HH]]*VLOOKUP("Winter Clothes Children ",NFI,6)-Table10[[#This Row],[Winter Clothes Children ]],0)</f>
        <v>12</v>
      </c>
      <c r="L60" s="116">
        <f ca="1">MAX(Table10[[#This Row],[HH]]*VLOOKUP("Winter Items Other ",NFI,6)-Table10[[#This Row],[Winter Items Other ]],0)</f>
        <v>12</v>
      </c>
      <c r="M60" s="129" t="str">
        <f>IF(OR(Table10[[#This Row],[Winter Clothes Adult ]]&lt;&gt;0,Table10[[#This Row],[Winter Clothes Children ]]&lt;&gt;0,Table10[[#This Row],[Winter Items Other ]]&lt;&gt;0),"No","")</f>
        <v/>
      </c>
      <c r="N60" s="130">
        <f>COUNTIF(A:A,Table10[[#This Row],[Pcode]])-1</f>
        <v>0</v>
      </c>
    </row>
    <row r="61" spans="1:14" x14ac:dyDescent="0.25">
      <c r="A61" s="110" t="s">
        <v>809</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16">
        <f ca="1">OFFSET(CampList[HH],MATCH(Table10[[#This Row],[Pcode]],CampList[CP_Pcode],0)-1,0,1,1)</f>
        <v>0</v>
      </c>
      <c r="F61" s="116">
        <f ca="1">OFFSET(CampList[Total],MATCH(Table10[[#This Row],[Pcode]],CampList[CP_Pcode],0)-1,0,1,1)</f>
        <v>0</v>
      </c>
      <c r="G61" s="116">
        <f>SUMIF('NFI Distributions'!AS$38:AS$1048576,Table10[[#This Row],[Pcode]],'NFI Distributions'!AK$38:AK$1048576)</f>
        <v>0</v>
      </c>
      <c r="H61" s="116">
        <f>SUMIF('NFI Distributions'!AS$38:AS$1048576,Table10[[#This Row],[Pcode]],'NFI Distributions'!AL$38:AL$1048576)</f>
        <v>0</v>
      </c>
      <c r="I61" s="116">
        <f>SUMIF('NFI Distributions'!AS$38:AS$1048576,Table10[[#This Row],[Pcode]],'NFI Distributions'!AM$38:AM$1048576)</f>
        <v>0</v>
      </c>
      <c r="J61" s="116">
        <f ca="1">MAX(Table10[[#This Row],[HH]]*VLOOKUP("Winter Clothes Adult",NFI,6)-Table10[[#This Row],[Winter Clothes Adult ]],0)</f>
        <v>0</v>
      </c>
      <c r="K61" s="116">
        <f ca="1">MAX(Table10[[#This Row],[HH]]*VLOOKUP("Winter Clothes Children ",NFI,6)-Table10[[#This Row],[Winter Clothes Children ]],0)</f>
        <v>0</v>
      </c>
      <c r="L61" s="116">
        <f ca="1">MAX(Table10[[#This Row],[HH]]*VLOOKUP("Winter Items Other ",NFI,6)-Table10[[#This Row],[Winter Items Other ]],0)</f>
        <v>0</v>
      </c>
      <c r="M61" s="129" t="str">
        <f>IF(OR(Table10[[#This Row],[Winter Clothes Adult ]]&lt;&gt;0,Table10[[#This Row],[Winter Clothes Children ]]&lt;&gt;0,Table10[[#This Row],[Winter Items Other ]]&lt;&gt;0),"No","")</f>
        <v/>
      </c>
      <c r="N61" s="130">
        <f>COUNTIF(A:A,Table10[[#This Row],[Pcode]])-1</f>
        <v>0</v>
      </c>
    </row>
    <row r="62" spans="1:14" x14ac:dyDescent="0.25">
      <c r="A62" s="110"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16">
        <f ca="1">OFFSET(CampList[HH],MATCH(Table10[[#This Row],[Pcode]],CampList[CP_Pcode],0)-1,0,1,1)</f>
        <v>37</v>
      </c>
      <c r="F62" s="116">
        <f ca="1">OFFSET(CampList[Total],MATCH(Table10[[#This Row],[Pcode]],CampList[CP_Pcode],0)-1,0,1,1)</f>
        <v>228</v>
      </c>
      <c r="G62" s="116">
        <f>SUMIF('NFI Distributions'!AS$38:AS$1048576,Table10[[#This Row],[Pcode]],'NFI Distributions'!AK$38:AK$1048576)</f>
        <v>0</v>
      </c>
      <c r="H62" s="116">
        <f>SUMIF('NFI Distributions'!AS$38:AS$1048576,Table10[[#This Row],[Pcode]],'NFI Distributions'!AL$38:AL$1048576)</f>
        <v>0</v>
      </c>
      <c r="I62" s="116">
        <f>SUMIF('NFI Distributions'!AS$38:AS$1048576,Table10[[#This Row],[Pcode]],'NFI Distributions'!AM$38:AM$1048576)</f>
        <v>0</v>
      </c>
      <c r="J62" s="116">
        <f ca="1">MAX(Table10[[#This Row],[HH]]*VLOOKUP("Winter Clothes Adult",NFI,6)-Table10[[#This Row],[Winter Clothes Adult ]],0)</f>
        <v>74</v>
      </c>
      <c r="K62" s="116">
        <f ca="1">MAX(Table10[[#This Row],[HH]]*VLOOKUP("Winter Clothes Children ",NFI,6)-Table10[[#This Row],[Winter Clothes Children ]],0)</f>
        <v>37</v>
      </c>
      <c r="L62" s="116">
        <f ca="1">MAX(Table10[[#This Row],[HH]]*VLOOKUP("Winter Items Other ",NFI,6)-Table10[[#This Row],[Winter Items Other ]],0)</f>
        <v>37</v>
      </c>
      <c r="M62" s="129" t="str">
        <f>IF(OR(Table10[[#This Row],[Winter Clothes Adult ]]&lt;&gt;0,Table10[[#This Row],[Winter Clothes Children ]]&lt;&gt;0,Table10[[#This Row],[Winter Items Other ]]&lt;&gt;0),"No","")</f>
        <v/>
      </c>
      <c r="N62" s="130">
        <f>COUNTIF(A:A,Table10[[#This Row],[Pcode]])-1</f>
        <v>0</v>
      </c>
    </row>
    <row r="63" spans="1:14" x14ac:dyDescent="0.25">
      <c r="A63" s="110"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16">
        <f ca="1">OFFSET(CampList[HH],MATCH(Table10[[#This Row],[Pcode]],CampList[CP_Pcode],0)-1,0,1,1)</f>
        <v>0</v>
      </c>
      <c r="F63" s="116">
        <f ca="1">OFFSET(CampList[Total],MATCH(Table10[[#This Row],[Pcode]],CampList[CP_Pcode],0)-1,0,1,1)</f>
        <v>0</v>
      </c>
      <c r="G63" s="116">
        <f>SUMIF('NFI Distributions'!AS$38:AS$1048576,Table10[[#This Row],[Pcode]],'NFI Distributions'!AK$38:AK$1048576)</f>
        <v>0</v>
      </c>
      <c r="H63" s="116">
        <f>SUMIF('NFI Distributions'!AS$38:AS$1048576,Table10[[#This Row],[Pcode]],'NFI Distributions'!AL$38:AL$1048576)</f>
        <v>0</v>
      </c>
      <c r="I63" s="116">
        <f>SUMIF('NFI Distributions'!AS$38:AS$1048576,Table10[[#This Row],[Pcode]],'NFI Distributions'!AM$38:AM$1048576)</f>
        <v>0</v>
      </c>
      <c r="J63" s="116">
        <f ca="1">MAX(Table10[[#This Row],[HH]]*VLOOKUP("Winter Clothes Adult",NFI,6)-Table10[[#This Row],[Winter Clothes Adult ]],0)</f>
        <v>0</v>
      </c>
      <c r="K63" s="116">
        <f ca="1">MAX(Table10[[#This Row],[HH]]*VLOOKUP("Winter Clothes Children ",NFI,6)-Table10[[#This Row],[Winter Clothes Children ]],0)</f>
        <v>0</v>
      </c>
      <c r="L63" s="116">
        <f ca="1">MAX(Table10[[#This Row],[HH]]*VLOOKUP("Winter Items Other ",NFI,6)-Table10[[#This Row],[Winter Items Other ]],0)</f>
        <v>0</v>
      </c>
      <c r="M63" s="129" t="str">
        <f>IF(OR(Table10[[#This Row],[Winter Clothes Adult ]]&lt;&gt;0,Table10[[#This Row],[Winter Clothes Children ]]&lt;&gt;0,Table10[[#This Row],[Winter Items Other ]]&lt;&gt;0),"No","")</f>
        <v/>
      </c>
      <c r="N63" s="130">
        <f>COUNTIF(A:A,Table10[[#This Row],[Pcode]])-1</f>
        <v>0</v>
      </c>
    </row>
    <row r="64" spans="1:14" x14ac:dyDescent="0.25">
      <c r="A64" s="110"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16">
        <f ca="1">OFFSET(CampList[HH],MATCH(Table10[[#This Row],[Pcode]],CampList[CP_Pcode],0)-1,0,1,1)</f>
        <v>5</v>
      </c>
      <c r="F64" s="116">
        <f ca="1">OFFSET(CampList[Total],MATCH(Table10[[#This Row],[Pcode]],CampList[CP_Pcode],0)-1,0,1,1)</f>
        <v>26</v>
      </c>
      <c r="G64" s="116">
        <f>SUMIF('NFI Distributions'!AS$38:AS$1048576,Table10[[#This Row],[Pcode]],'NFI Distributions'!AK$38:AK$1048576)</f>
        <v>0</v>
      </c>
      <c r="H64" s="116">
        <f>SUMIF('NFI Distributions'!AS$38:AS$1048576,Table10[[#This Row],[Pcode]],'NFI Distributions'!AL$38:AL$1048576)</f>
        <v>0</v>
      </c>
      <c r="I64" s="116">
        <f>SUMIF('NFI Distributions'!AS$38:AS$1048576,Table10[[#This Row],[Pcode]],'NFI Distributions'!AM$38:AM$1048576)</f>
        <v>0</v>
      </c>
      <c r="J64" s="116">
        <f ca="1">MAX(Table10[[#This Row],[HH]]*VLOOKUP("Winter Clothes Adult",NFI,6)-Table10[[#This Row],[Winter Clothes Adult ]],0)</f>
        <v>10</v>
      </c>
      <c r="K64" s="116">
        <f ca="1">MAX(Table10[[#This Row],[HH]]*VLOOKUP("Winter Clothes Children ",NFI,6)-Table10[[#This Row],[Winter Clothes Children ]],0)</f>
        <v>5</v>
      </c>
      <c r="L64" s="116">
        <f ca="1">MAX(Table10[[#This Row],[HH]]*VLOOKUP("Winter Items Other ",NFI,6)-Table10[[#This Row],[Winter Items Other ]],0)</f>
        <v>5</v>
      </c>
      <c r="M64" s="129" t="str">
        <f>IF(OR(Table10[[#This Row],[Winter Clothes Adult ]]&lt;&gt;0,Table10[[#This Row],[Winter Clothes Children ]]&lt;&gt;0,Table10[[#This Row],[Winter Items Other ]]&lt;&gt;0),"No","")</f>
        <v/>
      </c>
      <c r="N64" s="130">
        <f>COUNTIF(A:A,Table10[[#This Row],[Pcode]])-1</f>
        <v>0</v>
      </c>
    </row>
    <row r="65" spans="1:14" x14ac:dyDescent="0.25">
      <c r="A65" s="110"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16">
        <f ca="1">OFFSET(CampList[HH],MATCH(Table10[[#This Row],[Pcode]],CampList[CP_Pcode],0)-1,0,1,1)</f>
        <v>70</v>
      </c>
      <c r="F65" s="116">
        <f ca="1">OFFSET(CampList[Total],MATCH(Table10[[#This Row],[Pcode]],CampList[CP_Pcode],0)-1,0,1,1)</f>
        <v>376</v>
      </c>
      <c r="G65" s="116">
        <f>SUMIF('NFI Distributions'!AS$38:AS$1048576,Table10[[#This Row],[Pcode]],'NFI Distributions'!AK$38:AK$1048576)</f>
        <v>0</v>
      </c>
      <c r="H65" s="116">
        <f>SUMIF('NFI Distributions'!AS$38:AS$1048576,Table10[[#This Row],[Pcode]],'NFI Distributions'!AL$38:AL$1048576)</f>
        <v>0</v>
      </c>
      <c r="I65" s="116">
        <f>SUMIF('NFI Distributions'!AS$38:AS$1048576,Table10[[#This Row],[Pcode]],'NFI Distributions'!AM$38:AM$1048576)</f>
        <v>0</v>
      </c>
      <c r="J65" s="116">
        <f ca="1">MAX(Table10[[#This Row],[HH]]*VLOOKUP("Winter Clothes Adult",NFI,6)-Table10[[#This Row],[Winter Clothes Adult ]],0)</f>
        <v>140</v>
      </c>
      <c r="K65" s="116">
        <f ca="1">MAX(Table10[[#This Row],[HH]]*VLOOKUP("Winter Clothes Children ",NFI,6)-Table10[[#This Row],[Winter Clothes Children ]],0)</f>
        <v>70</v>
      </c>
      <c r="L65" s="116">
        <f ca="1">MAX(Table10[[#This Row],[HH]]*VLOOKUP("Winter Items Other ",NFI,6)-Table10[[#This Row],[Winter Items Other ]],0)</f>
        <v>70</v>
      </c>
      <c r="M65" s="129" t="str">
        <f>IF(OR(Table10[[#This Row],[Winter Clothes Adult ]]&lt;&gt;0,Table10[[#This Row],[Winter Clothes Children ]]&lt;&gt;0,Table10[[#This Row],[Winter Items Other ]]&lt;&gt;0),"No","")</f>
        <v/>
      </c>
      <c r="N65" s="130">
        <f>COUNTIF(A:A,Table10[[#This Row],[Pcode]])-1</f>
        <v>0</v>
      </c>
    </row>
    <row r="66" spans="1:14" x14ac:dyDescent="0.25">
      <c r="A66" s="110"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16" t="e">
        <f ca="1">OFFSET(CampList[HH],MATCH(Table10[[#This Row],[Pcode]],CampList[CP_Pcode],0)-1,0,1,1)</f>
        <v>#N/A</v>
      </c>
      <c r="F66" s="116" t="e">
        <f ca="1">OFFSET(CampList[Total],MATCH(Table10[[#This Row],[Pcode]],CampList[CP_Pcode],0)-1,0,1,1)</f>
        <v>#N/A</v>
      </c>
      <c r="G66" s="116">
        <f>SUMIF('NFI Distributions'!AS$38:AS$1048576,Table10[[#This Row],[Pcode]],'NFI Distributions'!AK$38:AK$1048576)</f>
        <v>0</v>
      </c>
      <c r="H66" s="116">
        <f>SUMIF('NFI Distributions'!AS$38:AS$1048576,Table10[[#This Row],[Pcode]],'NFI Distributions'!AL$38:AL$1048576)</f>
        <v>0</v>
      </c>
      <c r="I66" s="116">
        <f>SUMIF('NFI Distributions'!AS$38:AS$1048576,Table10[[#This Row],[Pcode]],'NFI Distributions'!AM$38:AM$1048576)</f>
        <v>0</v>
      </c>
      <c r="J66" s="116" t="e">
        <f ca="1">MAX(Table10[[#This Row],[HH]]*VLOOKUP("Winter Clothes Adult",NFI,6)-Table10[[#This Row],[Winter Clothes Adult ]],0)</f>
        <v>#N/A</v>
      </c>
      <c r="K66" s="116" t="e">
        <f ca="1">MAX(Table10[[#This Row],[HH]]*VLOOKUP("Winter Clothes Children ",NFI,6)-Table10[[#This Row],[Winter Clothes Children ]],0)</f>
        <v>#N/A</v>
      </c>
      <c r="L66" s="116" t="e">
        <f ca="1">MAX(Table10[[#This Row],[HH]]*VLOOKUP("Winter Items Other ",NFI,6)-Table10[[#This Row],[Winter Items Other ]],0)</f>
        <v>#N/A</v>
      </c>
      <c r="M66" s="129" t="str">
        <f>IF(OR(Table10[[#This Row],[Winter Clothes Adult ]]&lt;&gt;0,Table10[[#This Row],[Winter Clothes Children ]]&lt;&gt;0,Table10[[#This Row],[Winter Items Other ]]&lt;&gt;0),"No","")</f>
        <v/>
      </c>
      <c r="N66" s="130">
        <f>COUNTIF(A:A,Table10[[#This Row],[Pcode]])-1</f>
        <v>0</v>
      </c>
    </row>
    <row r="67" spans="1:14" x14ac:dyDescent="0.25">
      <c r="A67" s="110"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16">
        <f ca="1">OFFSET(CampList[HH],MATCH(Table10[[#This Row],[Pcode]],CampList[CP_Pcode],0)-1,0,1,1)</f>
        <v>42</v>
      </c>
      <c r="F67" s="116">
        <f ca="1">OFFSET(CampList[Total],MATCH(Table10[[#This Row],[Pcode]],CampList[CP_Pcode],0)-1,0,1,1)</f>
        <v>186</v>
      </c>
      <c r="G67" s="116">
        <f>SUMIF('NFI Distributions'!AS$38:AS$1048576,Table10[[#This Row],[Pcode]],'NFI Distributions'!AK$38:AK$1048576)</f>
        <v>0</v>
      </c>
      <c r="H67" s="116">
        <f>SUMIF('NFI Distributions'!AS$38:AS$1048576,Table10[[#This Row],[Pcode]],'NFI Distributions'!AL$38:AL$1048576)</f>
        <v>0</v>
      </c>
      <c r="I67" s="116">
        <f>SUMIF('NFI Distributions'!AS$38:AS$1048576,Table10[[#This Row],[Pcode]],'NFI Distributions'!AM$38:AM$1048576)</f>
        <v>0</v>
      </c>
      <c r="J67" s="116">
        <f ca="1">MAX(Table10[[#This Row],[HH]]*VLOOKUP("Winter Clothes Adult",NFI,6)-Table10[[#This Row],[Winter Clothes Adult ]],0)</f>
        <v>84</v>
      </c>
      <c r="K67" s="116">
        <f ca="1">MAX(Table10[[#This Row],[HH]]*VLOOKUP("Winter Clothes Children ",NFI,6)-Table10[[#This Row],[Winter Clothes Children ]],0)</f>
        <v>42</v>
      </c>
      <c r="L67" s="116">
        <f ca="1">MAX(Table10[[#This Row],[HH]]*VLOOKUP("Winter Items Other ",NFI,6)-Table10[[#This Row],[Winter Items Other ]],0)</f>
        <v>42</v>
      </c>
      <c r="M67" s="129" t="str">
        <f>IF(OR(Table10[[#This Row],[Winter Clothes Adult ]]&lt;&gt;0,Table10[[#This Row],[Winter Clothes Children ]]&lt;&gt;0,Table10[[#This Row],[Winter Items Other ]]&lt;&gt;0),"No","")</f>
        <v/>
      </c>
      <c r="N67" s="130">
        <f>COUNTIF(A:A,Table10[[#This Row],[Pcode]])-1</f>
        <v>0</v>
      </c>
    </row>
    <row r="68" spans="1:14" x14ac:dyDescent="0.25">
      <c r="A68" s="110"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16" t="e">
        <f ca="1">OFFSET(CampList[HH],MATCH(Table10[[#This Row],[Pcode]],CampList[CP_Pcode],0)-1,0,1,1)</f>
        <v>#N/A</v>
      </c>
      <c r="F68" s="116" t="e">
        <f ca="1">OFFSET(CampList[Total],MATCH(Table10[[#This Row],[Pcode]],CampList[CP_Pcode],0)-1,0,1,1)</f>
        <v>#N/A</v>
      </c>
      <c r="G68" s="116">
        <f>SUMIF('NFI Distributions'!AS$38:AS$1048576,Table10[[#This Row],[Pcode]],'NFI Distributions'!AK$38:AK$1048576)</f>
        <v>0</v>
      </c>
      <c r="H68" s="116">
        <f>SUMIF('NFI Distributions'!AS$38:AS$1048576,Table10[[#This Row],[Pcode]],'NFI Distributions'!AL$38:AL$1048576)</f>
        <v>0</v>
      </c>
      <c r="I68" s="116">
        <f>SUMIF('NFI Distributions'!AS$38:AS$1048576,Table10[[#This Row],[Pcode]],'NFI Distributions'!AM$38:AM$1048576)</f>
        <v>0</v>
      </c>
      <c r="J68" s="116" t="e">
        <f ca="1">MAX(Table10[[#This Row],[HH]]*VLOOKUP("Winter Clothes Adult",NFI,6)-Table10[[#This Row],[Winter Clothes Adult ]],0)</f>
        <v>#N/A</v>
      </c>
      <c r="K68" s="116" t="e">
        <f ca="1">MAX(Table10[[#This Row],[HH]]*VLOOKUP("Winter Clothes Children ",NFI,6)-Table10[[#This Row],[Winter Clothes Children ]],0)</f>
        <v>#N/A</v>
      </c>
      <c r="L68" s="116" t="e">
        <f ca="1">MAX(Table10[[#This Row],[HH]]*VLOOKUP("Winter Items Other ",NFI,6)-Table10[[#This Row],[Winter Items Other ]],0)</f>
        <v>#N/A</v>
      </c>
      <c r="M68" s="129" t="str">
        <f>IF(OR(Table10[[#This Row],[Winter Clothes Adult ]]&lt;&gt;0,Table10[[#This Row],[Winter Clothes Children ]]&lt;&gt;0,Table10[[#This Row],[Winter Items Other ]]&lt;&gt;0),"No","")</f>
        <v/>
      </c>
      <c r="N68" s="130">
        <f>COUNTIF(A:A,Table10[[#This Row],[Pcode]])-1</f>
        <v>0</v>
      </c>
    </row>
    <row r="69" spans="1:14" x14ac:dyDescent="0.25">
      <c r="A69" s="110"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16">
        <f ca="1">OFFSET(CampList[HH],MATCH(Table10[[#This Row],[Pcode]],CampList[CP_Pcode],0)-1,0,1,1)</f>
        <v>103</v>
      </c>
      <c r="F69" s="116">
        <f ca="1">OFFSET(CampList[Total],MATCH(Table10[[#This Row],[Pcode]],CampList[CP_Pcode],0)-1,0,1,1)</f>
        <v>503</v>
      </c>
      <c r="G69" s="116">
        <f>SUMIF('NFI Distributions'!AS$38:AS$1048576,Table10[[#This Row],[Pcode]],'NFI Distributions'!AK$38:AK$1048576)</f>
        <v>0</v>
      </c>
      <c r="H69" s="116">
        <f>SUMIF('NFI Distributions'!AS$38:AS$1048576,Table10[[#This Row],[Pcode]],'NFI Distributions'!AL$38:AL$1048576)</f>
        <v>0</v>
      </c>
      <c r="I69" s="116">
        <f>SUMIF('NFI Distributions'!AS$38:AS$1048576,Table10[[#This Row],[Pcode]],'NFI Distributions'!AM$38:AM$1048576)</f>
        <v>0</v>
      </c>
      <c r="J69" s="116">
        <f ca="1">MAX(Table10[[#This Row],[HH]]*VLOOKUP("Winter Clothes Adult",NFI,6)-Table10[[#This Row],[Winter Clothes Adult ]],0)</f>
        <v>206</v>
      </c>
      <c r="K69" s="116">
        <f ca="1">MAX(Table10[[#This Row],[HH]]*VLOOKUP("Winter Clothes Children ",NFI,6)-Table10[[#This Row],[Winter Clothes Children ]],0)</f>
        <v>103</v>
      </c>
      <c r="L69" s="116">
        <f ca="1">MAX(Table10[[#This Row],[HH]]*VLOOKUP("Winter Items Other ",NFI,6)-Table10[[#This Row],[Winter Items Other ]],0)</f>
        <v>103</v>
      </c>
      <c r="M69" s="129" t="str">
        <f>IF(OR(Table10[[#This Row],[Winter Clothes Adult ]]&lt;&gt;0,Table10[[#This Row],[Winter Clothes Children ]]&lt;&gt;0,Table10[[#This Row],[Winter Items Other ]]&lt;&gt;0),"No","")</f>
        <v/>
      </c>
      <c r="N69" s="130">
        <f>COUNTIF(A:A,Table10[[#This Row],[Pcode]])-1</f>
        <v>0</v>
      </c>
    </row>
    <row r="70" spans="1:14" x14ac:dyDescent="0.25">
      <c r="A70" s="110"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16">
        <f ca="1">OFFSET(CampList[HH],MATCH(Table10[[#This Row],[Pcode]],CampList[CP_Pcode],0)-1,0,1,1)</f>
        <v>13</v>
      </c>
      <c r="F70" s="116">
        <f ca="1">OFFSET(CampList[Total],MATCH(Table10[[#This Row],[Pcode]],CampList[CP_Pcode],0)-1,0,1,1)</f>
        <v>46</v>
      </c>
      <c r="G70" s="116">
        <f>SUMIF('NFI Distributions'!AS$38:AS$1048576,Table10[[#This Row],[Pcode]],'NFI Distributions'!AK$38:AK$1048576)</f>
        <v>0</v>
      </c>
      <c r="H70" s="116">
        <f>SUMIF('NFI Distributions'!AS$38:AS$1048576,Table10[[#This Row],[Pcode]],'NFI Distributions'!AL$38:AL$1048576)</f>
        <v>0</v>
      </c>
      <c r="I70" s="116">
        <f>SUMIF('NFI Distributions'!AS$38:AS$1048576,Table10[[#This Row],[Pcode]],'NFI Distributions'!AM$38:AM$1048576)</f>
        <v>0</v>
      </c>
      <c r="J70" s="116">
        <f ca="1">MAX(Table10[[#This Row],[HH]]*VLOOKUP("Winter Clothes Adult",NFI,6)-Table10[[#This Row],[Winter Clothes Adult ]],0)</f>
        <v>26</v>
      </c>
      <c r="K70" s="116">
        <f ca="1">MAX(Table10[[#This Row],[HH]]*VLOOKUP("Winter Clothes Children ",NFI,6)-Table10[[#This Row],[Winter Clothes Children ]],0)</f>
        <v>13</v>
      </c>
      <c r="L70" s="116">
        <f ca="1">MAX(Table10[[#This Row],[HH]]*VLOOKUP("Winter Items Other ",NFI,6)-Table10[[#This Row],[Winter Items Other ]],0)</f>
        <v>13</v>
      </c>
      <c r="M70" s="129" t="str">
        <f>IF(OR(Table10[[#This Row],[Winter Clothes Adult ]]&lt;&gt;0,Table10[[#This Row],[Winter Clothes Children ]]&lt;&gt;0,Table10[[#This Row],[Winter Items Other ]]&lt;&gt;0),"No","")</f>
        <v/>
      </c>
      <c r="N70" s="130">
        <f>COUNTIF(A:A,Table10[[#This Row],[Pcode]])-1</f>
        <v>0</v>
      </c>
    </row>
    <row r="71" spans="1:14" x14ac:dyDescent="0.25">
      <c r="A71" s="110"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16">
        <f ca="1">OFFSET(CampList[HH],MATCH(Table10[[#This Row],[Pcode]],CampList[CP_Pcode],0)-1,0,1,1)</f>
        <v>4</v>
      </c>
      <c r="F71" s="116">
        <f ca="1">OFFSET(CampList[Total],MATCH(Table10[[#This Row],[Pcode]],CampList[CP_Pcode],0)-1,0,1,1)</f>
        <v>27</v>
      </c>
      <c r="G71" s="116">
        <f>SUMIF('NFI Distributions'!AS$38:AS$1048576,Table10[[#This Row],[Pcode]],'NFI Distributions'!AK$38:AK$1048576)</f>
        <v>0</v>
      </c>
      <c r="H71" s="116">
        <f>SUMIF('NFI Distributions'!AS$38:AS$1048576,Table10[[#This Row],[Pcode]],'NFI Distributions'!AL$38:AL$1048576)</f>
        <v>0</v>
      </c>
      <c r="I71" s="116">
        <f>SUMIF('NFI Distributions'!AS$38:AS$1048576,Table10[[#This Row],[Pcode]],'NFI Distributions'!AM$38:AM$1048576)</f>
        <v>0</v>
      </c>
      <c r="J71" s="116">
        <f ca="1">MAX(Table10[[#This Row],[HH]]*VLOOKUP("Winter Clothes Adult",NFI,6)-Table10[[#This Row],[Winter Clothes Adult ]],0)</f>
        <v>8</v>
      </c>
      <c r="K71" s="116">
        <f ca="1">MAX(Table10[[#This Row],[HH]]*VLOOKUP("Winter Clothes Children ",NFI,6)-Table10[[#This Row],[Winter Clothes Children ]],0)</f>
        <v>4</v>
      </c>
      <c r="L71" s="116">
        <f ca="1">MAX(Table10[[#This Row],[HH]]*VLOOKUP("Winter Items Other ",NFI,6)-Table10[[#This Row],[Winter Items Other ]],0)</f>
        <v>4</v>
      </c>
      <c r="M71" s="129" t="str">
        <f>IF(OR(Table10[[#This Row],[Winter Clothes Adult ]]&lt;&gt;0,Table10[[#This Row],[Winter Clothes Children ]]&lt;&gt;0,Table10[[#This Row],[Winter Items Other ]]&lt;&gt;0),"No","")</f>
        <v/>
      </c>
      <c r="N71" s="130">
        <f>COUNTIF(A:A,Table10[[#This Row],[Pcode]])-1</f>
        <v>0</v>
      </c>
    </row>
    <row r="72" spans="1:14" x14ac:dyDescent="0.25">
      <c r="A72" s="110"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16">
        <f ca="1">OFFSET(CampList[HH],MATCH(Table10[[#This Row],[Pcode]],CampList[CP_Pcode],0)-1,0,1,1)</f>
        <v>197</v>
      </c>
      <c r="F72" s="116">
        <f ca="1">OFFSET(CampList[Total],MATCH(Table10[[#This Row],[Pcode]],CampList[CP_Pcode],0)-1,0,1,1)</f>
        <v>957</v>
      </c>
      <c r="G72" s="116">
        <f>SUMIF('NFI Distributions'!AS$38:AS$1048576,Table10[[#This Row],[Pcode]],'NFI Distributions'!AK$38:AK$1048576)</f>
        <v>0</v>
      </c>
      <c r="H72" s="116">
        <f>SUMIF('NFI Distributions'!AS$38:AS$1048576,Table10[[#This Row],[Pcode]],'NFI Distributions'!AL$38:AL$1048576)</f>
        <v>0</v>
      </c>
      <c r="I72" s="116">
        <f>SUMIF('NFI Distributions'!AS$38:AS$1048576,Table10[[#This Row],[Pcode]],'NFI Distributions'!AM$38:AM$1048576)</f>
        <v>0</v>
      </c>
      <c r="J72" s="116">
        <f ca="1">MAX(Table10[[#This Row],[HH]]*VLOOKUP("Winter Clothes Adult",NFI,6)-Table10[[#This Row],[Winter Clothes Adult ]],0)</f>
        <v>394</v>
      </c>
      <c r="K72" s="116">
        <f ca="1">MAX(Table10[[#This Row],[HH]]*VLOOKUP("Winter Clothes Children ",NFI,6)-Table10[[#This Row],[Winter Clothes Children ]],0)</f>
        <v>197</v>
      </c>
      <c r="L72" s="116">
        <f ca="1">MAX(Table10[[#This Row],[HH]]*VLOOKUP("Winter Items Other ",NFI,6)-Table10[[#This Row],[Winter Items Other ]],0)</f>
        <v>197</v>
      </c>
      <c r="M72" s="129" t="str">
        <f>IF(OR(Table10[[#This Row],[Winter Clothes Adult ]]&lt;&gt;0,Table10[[#This Row],[Winter Clothes Children ]]&lt;&gt;0,Table10[[#This Row],[Winter Items Other ]]&lt;&gt;0),"No","")</f>
        <v/>
      </c>
      <c r="N72" s="130">
        <f>COUNTIF(A:A,Table10[[#This Row],[Pcode]])-1</f>
        <v>0</v>
      </c>
    </row>
    <row r="73" spans="1:14" x14ac:dyDescent="0.25">
      <c r="A73" s="110"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16">
        <f ca="1">OFFSET(CampList[HH],MATCH(Table10[[#This Row],[Pcode]],CampList[CP_Pcode],0)-1,0,1,1)</f>
        <v>73</v>
      </c>
      <c r="F73" s="116">
        <f ca="1">OFFSET(CampList[Total],MATCH(Table10[[#This Row],[Pcode]],CampList[CP_Pcode],0)-1,0,1,1)</f>
        <v>274</v>
      </c>
      <c r="G73" s="116">
        <f>SUMIF('NFI Distributions'!AS$38:AS$1048576,Table10[[#This Row],[Pcode]],'NFI Distributions'!AK$38:AK$1048576)</f>
        <v>0</v>
      </c>
      <c r="H73" s="116">
        <f>SUMIF('NFI Distributions'!AS$38:AS$1048576,Table10[[#This Row],[Pcode]],'NFI Distributions'!AL$38:AL$1048576)</f>
        <v>0</v>
      </c>
      <c r="I73" s="116">
        <f>SUMIF('NFI Distributions'!AS$38:AS$1048576,Table10[[#This Row],[Pcode]],'NFI Distributions'!AM$38:AM$1048576)</f>
        <v>0</v>
      </c>
      <c r="J73" s="116">
        <f ca="1">MAX(Table10[[#This Row],[HH]]*VLOOKUP("Winter Clothes Adult",NFI,6)-Table10[[#This Row],[Winter Clothes Adult ]],0)</f>
        <v>146</v>
      </c>
      <c r="K73" s="116">
        <f ca="1">MAX(Table10[[#This Row],[HH]]*VLOOKUP("Winter Clothes Children ",NFI,6)-Table10[[#This Row],[Winter Clothes Children ]],0)</f>
        <v>73</v>
      </c>
      <c r="L73" s="116">
        <f ca="1">MAX(Table10[[#This Row],[HH]]*VLOOKUP("Winter Items Other ",NFI,6)-Table10[[#This Row],[Winter Items Other ]],0)</f>
        <v>73</v>
      </c>
      <c r="M73" s="129" t="str">
        <f>IF(OR(Table10[[#This Row],[Winter Clothes Adult ]]&lt;&gt;0,Table10[[#This Row],[Winter Clothes Children ]]&lt;&gt;0,Table10[[#This Row],[Winter Items Other ]]&lt;&gt;0),"No","")</f>
        <v/>
      </c>
      <c r="N73" s="130">
        <f>COUNTIF(A:A,Table10[[#This Row],[Pcode]])-1</f>
        <v>0</v>
      </c>
    </row>
    <row r="74" spans="1:14" x14ac:dyDescent="0.25">
      <c r="A74" s="110"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16">
        <f ca="1">OFFSET(CampList[HH],MATCH(Table10[[#This Row],[Pcode]],CampList[CP_Pcode],0)-1,0,1,1)</f>
        <v>226</v>
      </c>
      <c r="F74" s="116">
        <f ca="1">OFFSET(CampList[Total],MATCH(Table10[[#This Row],[Pcode]],CampList[CP_Pcode],0)-1,0,1,1)</f>
        <v>1048</v>
      </c>
      <c r="G74" s="116">
        <f>SUMIF('NFI Distributions'!AS$38:AS$1048576,Table10[[#This Row],[Pcode]],'NFI Distributions'!AK$38:AK$1048576)</f>
        <v>0</v>
      </c>
      <c r="H74" s="116">
        <f>SUMIF('NFI Distributions'!AS$38:AS$1048576,Table10[[#This Row],[Pcode]],'NFI Distributions'!AL$38:AL$1048576)</f>
        <v>0</v>
      </c>
      <c r="I74" s="116">
        <f>SUMIF('NFI Distributions'!AS$38:AS$1048576,Table10[[#This Row],[Pcode]],'NFI Distributions'!AM$38:AM$1048576)</f>
        <v>0</v>
      </c>
      <c r="J74" s="116">
        <f ca="1">MAX(Table10[[#This Row],[HH]]*VLOOKUP("Winter Clothes Adult",NFI,6)-Table10[[#This Row],[Winter Clothes Adult ]],0)</f>
        <v>452</v>
      </c>
      <c r="K74" s="116">
        <f ca="1">MAX(Table10[[#This Row],[HH]]*VLOOKUP("Winter Clothes Children ",NFI,6)-Table10[[#This Row],[Winter Clothes Children ]],0)</f>
        <v>226</v>
      </c>
      <c r="L74" s="116">
        <f ca="1">MAX(Table10[[#This Row],[HH]]*VLOOKUP("Winter Items Other ",NFI,6)-Table10[[#This Row],[Winter Items Other ]],0)</f>
        <v>226</v>
      </c>
      <c r="M74" s="129" t="str">
        <f>IF(OR(Table10[[#This Row],[Winter Clothes Adult ]]&lt;&gt;0,Table10[[#This Row],[Winter Clothes Children ]]&lt;&gt;0,Table10[[#This Row],[Winter Items Other ]]&lt;&gt;0),"No","")</f>
        <v/>
      </c>
      <c r="N74" s="130">
        <f>COUNTIF(A:A,Table10[[#This Row],[Pcode]])-1</f>
        <v>0</v>
      </c>
    </row>
    <row r="75" spans="1:14" x14ac:dyDescent="0.25">
      <c r="A75" s="110"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16">
        <f ca="1">OFFSET(CampList[HH],MATCH(Table10[[#This Row],[Pcode]],CampList[CP_Pcode],0)-1,0,1,1)</f>
        <v>0</v>
      </c>
      <c r="F75" s="116">
        <f ca="1">OFFSET(CampList[Total],MATCH(Table10[[#This Row],[Pcode]],CampList[CP_Pcode],0)-1,0,1,1)</f>
        <v>0</v>
      </c>
      <c r="G75" s="116">
        <f>SUMIF('NFI Distributions'!AS$38:AS$1048576,Table10[[#This Row],[Pcode]],'NFI Distributions'!AK$38:AK$1048576)</f>
        <v>0</v>
      </c>
      <c r="H75" s="116">
        <f>SUMIF('NFI Distributions'!AS$38:AS$1048576,Table10[[#This Row],[Pcode]],'NFI Distributions'!AL$38:AL$1048576)</f>
        <v>0</v>
      </c>
      <c r="I75" s="116">
        <f>SUMIF('NFI Distributions'!AS$38:AS$1048576,Table10[[#This Row],[Pcode]],'NFI Distributions'!AM$38:AM$1048576)</f>
        <v>0</v>
      </c>
      <c r="J75" s="116">
        <f ca="1">MAX(Table10[[#This Row],[HH]]*VLOOKUP("Winter Clothes Adult",NFI,6)-Table10[[#This Row],[Winter Clothes Adult ]],0)</f>
        <v>0</v>
      </c>
      <c r="K75" s="116">
        <f ca="1">MAX(Table10[[#This Row],[HH]]*VLOOKUP("Winter Clothes Children ",NFI,6)-Table10[[#This Row],[Winter Clothes Children ]],0)</f>
        <v>0</v>
      </c>
      <c r="L75" s="116">
        <f ca="1">MAX(Table10[[#This Row],[HH]]*VLOOKUP("Winter Items Other ",NFI,6)-Table10[[#This Row],[Winter Items Other ]],0)</f>
        <v>0</v>
      </c>
      <c r="M75" s="129" t="str">
        <f>IF(OR(Table10[[#This Row],[Winter Clothes Adult ]]&lt;&gt;0,Table10[[#This Row],[Winter Clothes Children ]]&lt;&gt;0,Table10[[#This Row],[Winter Items Other ]]&lt;&gt;0),"No","")</f>
        <v/>
      </c>
      <c r="N75" s="130">
        <f>COUNTIF(A:A,Table10[[#This Row],[Pcode]])-1</f>
        <v>0</v>
      </c>
    </row>
    <row r="76" spans="1:14" x14ac:dyDescent="0.25">
      <c r="A76" s="110"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16">
        <f ca="1">OFFSET(CampList[HH],MATCH(Table10[[#This Row],[Pcode]],CampList[CP_Pcode],0)-1,0,1,1)</f>
        <v>32</v>
      </c>
      <c r="F76" s="116">
        <f ca="1">OFFSET(CampList[Total],MATCH(Table10[[#This Row],[Pcode]],CampList[CP_Pcode],0)-1,0,1,1)</f>
        <v>187</v>
      </c>
      <c r="G76" s="116">
        <f>SUMIF('NFI Distributions'!AS$38:AS$1048576,Table10[[#This Row],[Pcode]],'NFI Distributions'!AK$38:AK$1048576)</f>
        <v>0</v>
      </c>
      <c r="H76" s="116">
        <f>SUMIF('NFI Distributions'!AS$38:AS$1048576,Table10[[#This Row],[Pcode]],'NFI Distributions'!AL$38:AL$1048576)</f>
        <v>0</v>
      </c>
      <c r="I76" s="116">
        <f>SUMIF('NFI Distributions'!AS$38:AS$1048576,Table10[[#This Row],[Pcode]],'NFI Distributions'!AM$38:AM$1048576)</f>
        <v>0</v>
      </c>
      <c r="J76" s="116">
        <f ca="1">MAX(Table10[[#This Row],[HH]]*VLOOKUP("Winter Clothes Adult",NFI,6)-Table10[[#This Row],[Winter Clothes Adult ]],0)</f>
        <v>64</v>
      </c>
      <c r="K76" s="116">
        <f ca="1">MAX(Table10[[#This Row],[HH]]*VLOOKUP("Winter Clothes Children ",NFI,6)-Table10[[#This Row],[Winter Clothes Children ]],0)</f>
        <v>32</v>
      </c>
      <c r="L76" s="116">
        <f ca="1">MAX(Table10[[#This Row],[HH]]*VLOOKUP("Winter Items Other ",NFI,6)-Table10[[#This Row],[Winter Items Other ]],0)</f>
        <v>32</v>
      </c>
      <c r="M76" s="129" t="str">
        <f>IF(OR(Table10[[#This Row],[Winter Clothes Adult ]]&lt;&gt;0,Table10[[#This Row],[Winter Clothes Children ]]&lt;&gt;0,Table10[[#This Row],[Winter Items Other ]]&lt;&gt;0),"No","")</f>
        <v/>
      </c>
      <c r="N76" s="130">
        <f>COUNTIF(A:A,Table10[[#This Row],[Pcode]])-1</f>
        <v>0</v>
      </c>
    </row>
    <row r="77" spans="1:14" x14ac:dyDescent="0.25">
      <c r="A77" s="110" t="s">
        <v>920</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16">
        <f ca="1">OFFSET(CampList[HH],MATCH(Table10[[#This Row],[Pcode]],CampList[CP_Pcode],0)-1,0,1,1)</f>
        <v>103</v>
      </c>
      <c r="F77" s="116">
        <f ca="1">OFFSET(CampList[Total],MATCH(Table10[[#This Row],[Pcode]],CampList[CP_Pcode],0)-1,0,1,1)</f>
        <v>498</v>
      </c>
      <c r="G77" s="116">
        <f>SUMIF('NFI Distributions'!AS$38:AS$1048576,Table10[[#This Row],[Pcode]],'NFI Distributions'!AK$38:AK$1048576)</f>
        <v>0</v>
      </c>
      <c r="H77" s="116">
        <f>SUMIF('NFI Distributions'!AS$38:AS$1048576,Table10[[#This Row],[Pcode]],'NFI Distributions'!AL$38:AL$1048576)</f>
        <v>0</v>
      </c>
      <c r="I77" s="116">
        <f>SUMIF('NFI Distributions'!AS$38:AS$1048576,Table10[[#This Row],[Pcode]],'NFI Distributions'!AM$38:AM$1048576)</f>
        <v>0</v>
      </c>
      <c r="J77" s="116">
        <f ca="1">MAX(Table10[[#This Row],[HH]]*VLOOKUP("Winter Clothes Adult",NFI,6)-Table10[[#This Row],[Winter Clothes Adult ]],0)</f>
        <v>206</v>
      </c>
      <c r="K77" s="116">
        <f ca="1">MAX(Table10[[#This Row],[HH]]*VLOOKUP("Winter Clothes Children ",NFI,6)-Table10[[#This Row],[Winter Clothes Children ]],0)</f>
        <v>103</v>
      </c>
      <c r="L77" s="116">
        <f ca="1">MAX(Table10[[#This Row],[HH]]*VLOOKUP("Winter Items Other ",NFI,6)-Table10[[#This Row],[Winter Items Other ]],0)</f>
        <v>103</v>
      </c>
      <c r="M77" s="129" t="str">
        <f>IF(OR(Table10[[#This Row],[Winter Clothes Adult ]]&lt;&gt;0,Table10[[#This Row],[Winter Clothes Children ]]&lt;&gt;0,Table10[[#This Row],[Winter Items Other ]]&lt;&gt;0),"No","")</f>
        <v/>
      </c>
      <c r="N77" s="130">
        <f>COUNTIF(A:A,Table10[[#This Row],[Pcode]])-1</f>
        <v>0</v>
      </c>
    </row>
    <row r="78" spans="1:14" x14ac:dyDescent="0.25">
      <c r="A78" s="110"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16">
        <f ca="1">OFFSET(CampList[HH],MATCH(Table10[[#This Row],[Pcode]],CampList[CP_Pcode],0)-1,0,1,1)</f>
        <v>39</v>
      </c>
      <c r="F78" s="116">
        <f ca="1">OFFSET(CampList[Total],MATCH(Table10[[#This Row],[Pcode]],CampList[CP_Pcode],0)-1,0,1,1)</f>
        <v>225</v>
      </c>
      <c r="G78" s="116">
        <f>SUMIF('NFI Distributions'!AS$38:AS$1048576,Table10[[#This Row],[Pcode]],'NFI Distributions'!AK$38:AK$1048576)</f>
        <v>0</v>
      </c>
      <c r="H78" s="116">
        <f>SUMIF('NFI Distributions'!AS$38:AS$1048576,Table10[[#This Row],[Pcode]],'NFI Distributions'!AL$38:AL$1048576)</f>
        <v>0</v>
      </c>
      <c r="I78" s="116">
        <f>SUMIF('NFI Distributions'!AS$38:AS$1048576,Table10[[#This Row],[Pcode]],'NFI Distributions'!AM$38:AM$1048576)</f>
        <v>0</v>
      </c>
      <c r="J78" s="116">
        <f ca="1">MAX(Table10[[#This Row],[HH]]*VLOOKUP("Winter Clothes Adult",NFI,6)-Table10[[#This Row],[Winter Clothes Adult ]],0)</f>
        <v>78</v>
      </c>
      <c r="K78" s="116">
        <f ca="1">MAX(Table10[[#This Row],[HH]]*VLOOKUP("Winter Clothes Children ",NFI,6)-Table10[[#This Row],[Winter Clothes Children ]],0)</f>
        <v>39</v>
      </c>
      <c r="L78" s="116">
        <f ca="1">MAX(Table10[[#This Row],[HH]]*VLOOKUP("Winter Items Other ",NFI,6)-Table10[[#This Row],[Winter Items Other ]],0)</f>
        <v>39</v>
      </c>
      <c r="M78" s="129" t="str">
        <f>IF(OR(Table10[[#This Row],[Winter Clothes Adult ]]&lt;&gt;0,Table10[[#This Row],[Winter Clothes Children ]]&lt;&gt;0,Table10[[#This Row],[Winter Items Other ]]&lt;&gt;0),"No","")</f>
        <v/>
      </c>
      <c r="N78" s="130">
        <f>COUNTIF(A:A,Table10[[#This Row],[Pcode]])-1</f>
        <v>0</v>
      </c>
    </row>
    <row r="79" spans="1:14" x14ac:dyDescent="0.25">
      <c r="A79" s="110"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16">
        <f ca="1">OFFSET(CampList[HH],MATCH(Table10[[#This Row],[Pcode]],CampList[CP_Pcode],0)-1,0,1,1)</f>
        <v>199</v>
      </c>
      <c r="F79" s="116">
        <f ca="1">OFFSET(CampList[Total],MATCH(Table10[[#This Row],[Pcode]],CampList[CP_Pcode],0)-1,0,1,1)</f>
        <v>1114</v>
      </c>
      <c r="G79" s="116">
        <f>SUMIF('NFI Distributions'!AS$38:AS$1048576,Table10[[#This Row],[Pcode]],'NFI Distributions'!AK$38:AK$1048576)</f>
        <v>0</v>
      </c>
      <c r="H79" s="116">
        <f>SUMIF('NFI Distributions'!AS$38:AS$1048576,Table10[[#This Row],[Pcode]],'NFI Distributions'!AL$38:AL$1048576)</f>
        <v>0</v>
      </c>
      <c r="I79" s="116">
        <f>SUMIF('NFI Distributions'!AS$38:AS$1048576,Table10[[#This Row],[Pcode]],'NFI Distributions'!AM$38:AM$1048576)</f>
        <v>0</v>
      </c>
      <c r="J79" s="116">
        <f ca="1">MAX(Table10[[#This Row],[HH]]*VLOOKUP("Winter Clothes Adult",NFI,6)-Table10[[#This Row],[Winter Clothes Adult ]],0)</f>
        <v>398</v>
      </c>
      <c r="K79" s="116">
        <f ca="1">MAX(Table10[[#This Row],[HH]]*VLOOKUP("Winter Clothes Children ",NFI,6)-Table10[[#This Row],[Winter Clothes Children ]],0)</f>
        <v>199</v>
      </c>
      <c r="L79" s="116">
        <f ca="1">MAX(Table10[[#This Row],[HH]]*VLOOKUP("Winter Items Other ",NFI,6)-Table10[[#This Row],[Winter Items Other ]],0)</f>
        <v>199</v>
      </c>
      <c r="M79" s="129" t="str">
        <f>IF(OR(Table10[[#This Row],[Winter Clothes Adult ]]&lt;&gt;0,Table10[[#This Row],[Winter Clothes Children ]]&lt;&gt;0,Table10[[#This Row],[Winter Items Other ]]&lt;&gt;0),"No","")</f>
        <v/>
      </c>
      <c r="N79" s="130">
        <f>COUNTIF(A:A,Table10[[#This Row],[Pcode]])-1</f>
        <v>0</v>
      </c>
    </row>
    <row r="80" spans="1:14" x14ac:dyDescent="0.25">
      <c r="A80" s="110"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16">
        <f ca="1">OFFSET(CampList[HH],MATCH(Table10[[#This Row],[Pcode]],CampList[CP_Pcode],0)-1,0,1,1)</f>
        <v>88</v>
      </c>
      <c r="F80" s="116">
        <f ca="1">OFFSET(CampList[Total],MATCH(Table10[[#This Row],[Pcode]],CampList[CP_Pcode],0)-1,0,1,1)</f>
        <v>427</v>
      </c>
      <c r="G80" s="116">
        <f>SUMIF('NFI Distributions'!AS$38:AS$1048576,Table10[[#This Row],[Pcode]],'NFI Distributions'!AK$38:AK$1048576)</f>
        <v>0</v>
      </c>
      <c r="H80" s="116">
        <f>SUMIF('NFI Distributions'!AS$38:AS$1048576,Table10[[#This Row],[Pcode]],'NFI Distributions'!AL$38:AL$1048576)</f>
        <v>0</v>
      </c>
      <c r="I80" s="116">
        <f>SUMIF('NFI Distributions'!AS$38:AS$1048576,Table10[[#This Row],[Pcode]],'NFI Distributions'!AM$38:AM$1048576)</f>
        <v>0</v>
      </c>
      <c r="J80" s="116">
        <f ca="1">MAX(Table10[[#This Row],[HH]]*VLOOKUP("Winter Clothes Adult",NFI,6)-Table10[[#This Row],[Winter Clothes Adult ]],0)</f>
        <v>176</v>
      </c>
      <c r="K80" s="116">
        <f ca="1">MAX(Table10[[#This Row],[HH]]*VLOOKUP("Winter Clothes Children ",NFI,6)-Table10[[#This Row],[Winter Clothes Children ]],0)</f>
        <v>88</v>
      </c>
      <c r="L80" s="116">
        <f ca="1">MAX(Table10[[#This Row],[HH]]*VLOOKUP("Winter Items Other ",NFI,6)-Table10[[#This Row],[Winter Items Other ]],0)</f>
        <v>88</v>
      </c>
      <c r="M80" s="129" t="str">
        <f>IF(OR(Table10[[#This Row],[Winter Clothes Adult ]]&lt;&gt;0,Table10[[#This Row],[Winter Clothes Children ]]&lt;&gt;0,Table10[[#This Row],[Winter Items Other ]]&lt;&gt;0),"No","")</f>
        <v/>
      </c>
      <c r="N80" s="130">
        <f>COUNTIF(A:A,Table10[[#This Row],[Pcode]])-1</f>
        <v>0</v>
      </c>
    </row>
    <row r="81" spans="1:14" x14ac:dyDescent="0.25">
      <c r="A81" s="110" t="s">
        <v>476</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16">
        <f ca="1">OFFSET(CampList[HH],MATCH(Table10[[#This Row],[Pcode]],CampList[CP_Pcode],0)-1,0,1,1)</f>
        <v>3</v>
      </c>
      <c r="F81" s="116">
        <f ca="1">OFFSET(CampList[Total],MATCH(Table10[[#This Row],[Pcode]],CampList[CP_Pcode],0)-1,0,1,1)</f>
        <v>18</v>
      </c>
      <c r="G81" s="116">
        <f>SUMIF('NFI Distributions'!AS$38:AS$1048576,Table10[[#This Row],[Pcode]],'NFI Distributions'!AK$38:AK$1048576)</f>
        <v>0</v>
      </c>
      <c r="H81" s="116">
        <f>SUMIF('NFI Distributions'!AS$38:AS$1048576,Table10[[#This Row],[Pcode]],'NFI Distributions'!AL$38:AL$1048576)</f>
        <v>0</v>
      </c>
      <c r="I81" s="116">
        <f>SUMIF('NFI Distributions'!AS$38:AS$1048576,Table10[[#This Row],[Pcode]],'NFI Distributions'!AM$38:AM$1048576)</f>
        <v>0</v>
      </c>
      <c r="J81" s="116">
        <f ca="1">MAX(Table10[[#This Row],[HH]]*VLOOKUP("Winter Clothes Adult",NFI,6)-Table10[[#This Row],[Winter Clothes Adult ]],0)</f>
        <v>6</v>
      </c>
      <c r="K81" s="116">
        <f ca="1">MAX(Table10[[#This Row],[HH]]*VLOOKUP("Winter Clothes Children ",NFI,6)-Table10[[#This Row],[Winter Clothes Children ]],0)</f>
        <v>3</v>
      </c>
      <c r="L81" s="116">
        <f ca="1">MAX(Table10[[#This Row],[HH]]*VLOOKUP("Winter Items Other ",NFI,6)-Table10[[#This Row],[Winter Items Other ]],0)</f>
        <v>3</v>
      </c>
      <c r="M81" s="129" t="str">
        <f>IF(OR(Table10[[#This Row],[Winter Clothes Adult ]]&lt;&gt;0,Table10[[#This Row],[Winter Clothes Children ]]&lt;&gt;0,Table10[[#This Row],[Winter Items Other ]]&lt;&gt;0),"No","")</f>
        <v/>
      </c>
      <c r="N81" s="130">
        <f>COUNTIF(A:A,Table10[[#This Row],[Pcode]])-1</f>
        <v>0</v>
      </c>
    </row>
    <row r="82" spans="1:14" x14ac:dyDescent="0.25">
      <c r="A82" s="110"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16">
        <f ca="1">OFFSET(CampList[HH],MATCH(Table10[[#This Row],[Pcode]],CampList[CP_Pcode],0)-1,0,1,1)</f>
        <v>43</v>
      </c>
      <c r="F82" s="116">
        <f ca="1">OFFSET(CampList[Total],MATCH(Table10[[#This Row],[Pcode]],CampList[CP_Pcode],0)-1,0,1,1)</f>
        <v>196</v>
      </c>
      <c r="G82" s="116">
        <f>SUMIF('NFI Distributions'!AS$38:AS$1048576,Table10[[#This Row],[Pcode]],'NFI Distributions'!AK$38:AK$1048576)</f>
        <v>0</v>
      </c>
      <c r="H82" s="116">
        <f>SUMIF('NFI Distributions'!AS$38:AS$1048576,Table10[[#This Row],[Pcode]],'NFI Distributions'!AL$38:AL$1048576)</f>
        <v>0</v>
      </c>
      <c r="I82" s="116">
        <f>SUMIF('NFI Distributions'!AS$38:AS$1048576,Table10[[#This Row],[Pcode]],'NFI Distributions'!AM$38:AM$1048576)</f>
        <v>0</v>
      </c>
      <c r="J82" s="116">
        <f ca="1">MAX(Table10[[#This Row],[HH]]*VLOOKUP("Winter Clothes Adult",NFI,6)-Table10[[#This Row],[Winter Clothes Adult ]],0)</f>
        <v>86</v>
      </c>
      <c r="K82" s="116">
        <f ca="1">MAX(Table10[[#This Row],[HH]]*VLOOKUP("Winter Clothes Children ",NFI,6)-Table10[[#This Row],[Winter Clothes Children ]],0)</f>
        <v>43</v>
      </c>
      <c r="L82" s="116">
        <f ca="1">MAX(Table10[[#This Row],[HH]]*VLOOKUP("Winter Items Other ",NFI,6)-Table10[[#This Row],[Winter Items Other ]],0)</f>
        <v>43</v>
      </c>
      <c r="M82" s="129" t="str">
        <f>IF(OR(Table10[[#This Row],[Winter Clothes Adult ]]&lt;&gt;0,Table10[[#This Row],[Winter Clothes Children ]]&lt;&gt;0,Table10[[#This Row],[Winter Items Other ]]&lt;&gt;0),"No","")</f>
        <v/>
      </c>
      <c r="N82" s="130">
        <f>COUNTIF(A:A,Table10[[#This Row],[Pcode]])-1</f>
        <v>0</v>
      </c>
    </row>
    <row r="83" spans="1:14" x14ac:dyDescent="0.25">
      <c r="A83" s="110"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16">
        <f ca="1">OFFSET(CampList[HH],MATCH(Table10[[#This Row],[Pcode]],CampList[CP_Pcode],0)-1,0,1,1)</f>
        <v>13</v>
      </c>
      <c r="F83" s="116">
        <f ca="1">OFFSET(CampList[Total],MATCH(Table10[[#This Row],[Pcode]],CampList[CP_Pcode],0)-1,0,1,1)</f>
        <v>66</v>
      </c>
      <c r="G83" s="116">
        <f>SUMIF('NFI Distributions'!AS$38:AS$1048576,Table10[[#This Row],[Pcode]],'NFI Distributions'!AK$38:AK$1048576)</f>
        <v>0</v>
      </c>
      <c r="H83" s="116">
        <f>SUMIF('NFI Distributions'!AS$38:AS$1048576,Table10[[#This Row],[Pcode]],'NFI Distributions'!AL$38:AL$1048576)</f>
        <v>0</v>
      </c>
      <c r="I83" s="116">
        <f>SUMIF('NFI Distributions'!AS$38:AS$1048576,Table10[[#This Row],[Pcode]],'NFI Distributions'!AM$38:AM$1048576)</f>
        <v>0</v>
      </c>
      <c r="J83" s="116">
        <f ca="1">MAX(Table10[[#This Row],[HH]]*VLOOKUP("Winter Clothes Adult",NFI,6)-Table10[[#This Row],[Winter Clothes Adult ]],0)</f>
        <v>26</v>
      </c>
      <c r="K83" s="116">
        <f ca="1">MAX(Table10[[#This Row],[HH]]*VLOOKUP("Winter Clothes Children ",NFI,6)-Table10[[#This Row],[Winter Clothes Children ]],0)</f>
        <v>13</v>
      </c>
      <c r="L83" s="116">
        <f ca="1">MAX(Table10[[#This Row],[HH]]*VLOOKUP("Winter Items Other ",NFI,6)-Table10[[#This Row],[Winter Items Other ]],0)</f>
        <v>13</v>
      </c>
      <c r="M83" s="129" t="str">
        <f>IF(OR(Table10[[#This Row],[Winter Clothes Adult ]]&lt;&gt;0,Table10[[#This Row],[Winter Clothes Children ]]&lt;&gt;0,Table10[[#This Row],[Winter Items Other ]]&lt;&gt;0),"No","")</f>
        <v/>
      </c>
      <c r="N83" s="130">
        <f>COUNTIF(A:A,Table10[[#This Row],[Pcode]])-1</f>
        <v>0</v>
      </c>
    </row>
    <row r="84" spans="1:14" x14ac:dyDescent="0.25">
      <c r="A84" s="110"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16">
        <f ca="1">OFFSET(CampList[HH],MATCH(Table10[[#This Row],[Pcode]],CampList[CP_Pcode],0)-1,0,1,1)</f>
        <v>0</v>
      </c>
      <c r="F84" s="116">
        <f ca="1">OFFSET(CampList[Total],MATCH(Table10[[#This Row],[Pcode]],CampList[CP_Pcode],0)-1,0,1,1)</f>
        <v>0</v>
      </c>
      <c r="G84" s="116">
        <f>SUMIF('NFI Distributions'!AS$38:AS$1048576,Table10[[#This Row],[Pcode]],'NFI Distributions'!AK$38:AK$1048576)</f>
        <v>0</v>
      </c>
      <c r="H84" s="116">
        <f>SUMIF('NFI Distributions'!AS$38:AS$1048576,Table10[[#This Row],[Pcode]],'NFI Distributions'!AL$38:AL$1048576)</f>
        <v>0</v>
      </c>
      <c r="I84" s="116">
        <f>SUMIF('NFI Distributions'!AS$38:AS$1048576,Table10[[#This Row],[Pcode]],'NFI Distributions'!AM$38:AM$1048576)</f>
        <v>0</v>
      </c>
      <c r="J84" s="116">
        <f ca="1">MAX(Table10[[#This Row],[HH]]*VLOOKUP("Winter Clothes Adult",NFI,6)-Table10[[#This Row],[Winter Clothes Adult ]],0)</f>
        <v>0</v>
      </c>
      <c r="K84" s="116">
        <f ca="1">MAX(Table10[[#This Row],[HH]]*VLOOKUP("Winter Clothes Children ",NFI,6)-Table10[[#This Row],[Winter Clothes Children ]],0)</f>
        <v>0</v>
      </c>
      <c r="L84" s="116">
        <f ca="1">MAX(Table10[[#This Row],[HH]]*VLOOKUP("Winter Items Other ",NFI,6)-Table10[[#This Row],[Winter Items Other ]],0)</f>
        <v>0</v>
      </c>
      <c r="M84" s="129" t="str">
        <f>IF(OR(Table10[[#This Row],[Winter Clothes Adult ]]&lt;&gt;0,Table10[[#This Row],[Winter Clothes Children ]]&lt;&gt;0,Table10[[#This Row],[Winter Items Other ]]&lt;&gt;0),"No","")</f>
        <v/>
      </c>
      <c r="N84" s="130">
        <f>COUNTIF(A:A,Table10[[#This Row],[Pcode]])-1</f>
        <v>0</v>
      </c>
    </row>
    <row r="85" spans="1:14" x14ac:dyDescent="0.25">
      <c r="A85" s="110" t="s">
        <v>471</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16">
        <f ca="1">OFFSET(CampList[HH],MATCH(Table10[[#This Row],[Pcode]],CampList[CP_Pcode],0)-1,0,1,1)</f>
        <v>0</v>
      </c>
      <c r="F85" s="116">
        <f ca="1">OFFSET(CampList[Total],MATCH(Table10[[#This Row],[Pcode]],CampList[CP_Pcode],0)-1,0,1,1)</f>
        <v>0</v>
      </c>
      <c r="G85" s="116">
        <f>SUMIF('NFI Distributions'!AS$38:AS$1048576,Table10[[#This Row],[Pcode]],'NFI Distributions'!AK$38:AK$1048576)</f>
        <v>0</v>
      </c>
      <c r="H85" s="116">
        <f>SUMIF('NFI Distributions'!AS$38:AS$1048576,Table10[[#This Row],[Pcode]],'NFI Distributions'!AL$38:AL$1048576)</f>
        <v>0</v>
      </c>
      <c r="I85" s="116">
        <f>SUMIF('NFI Distributions'!AS$38:AS$1048576,Table10[[#This Row],[Pcode]],'NFI Distributions'!AM$38:AM$1048576)</f>
        <v>0</v>
      </c>
      <c r="J85" s="116">
        <f ca="1">MAX(Table10[[#This Row],[HH]]*VLOOKUP("Winter Clothes Adult",NFI,6)-Table10[[#This Row],[Winter Clothes Adult ]],0)</f>
        <v>0</v>
      </c>
      <c r="K85" s="116">
        <f ca="1">MAX(Table10[[#This Row],[HH]]*VLOOKUP("Winter Clothes Children ",NFI,6)-Table10[[#This Row],[Winter Clothes Children ]],0)</f>
        <v>0</v>
      </c>
      <c r="L85" s="116">
        <f ca="1">MAX(Table10[[#This Row],[HH]]*VLOOKUP("Winter Items Other ",NFI,6)-Table10[[#This Row],[Winter Items Other ]],0)</f>
        <v>0</v>
      </c>
      <c r="M85" s="129" t="str">
        <f>IF(OR(Table10[[#This Row],[Winter Clothes Adult ]]&lt;&gt;0,Table10[[#This Row],[Winter Clothes Children ]]&lt;&gt;0,Table10[[#This Row],[Winter Items Other ]]&lt;&gt;0),"No","")</f>
        <v/>
      </c>
      <c r="N85" s="130">
        <f>COUNTIF(A:A,Table10[[#This Row],[Pcode]])-1</f>
        <v>0</v>
      </c>
    </row>
    <row r="86" spans="1:14" x14ac:dyDescent="0.25">
      <c r="A86" s="110"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16" t="e">
        <f ca="1">OFFSET(CampList[HH],MATCH(Table10[[#This Row],[Pcode]],CampList[CP_Pcode],0)-1,0,1,1)</f>
        <v>#N/A</v>
      </c>
      <c r="F86" s="116" t="e">
        <f ca="1">OFFSET(CampList[Total],MATCH(Table10[[#This Row],[Pcode]],CampList[CP_Pcode],0)-1,0,1,1)</f>
        <v>#N/A</v>
      </c>
      <c r="G86" s="116">
        <f>SUMIF('NFI Distributions'!AS$38:AS$1048576,Table10[[#This Row],[Pcode]],'NFI Distributions'!AK$38:AK$1048576)</f>
        <v>0</v>
      </c>
      <c r="H86" s="116">
        <f>SUMIF('NFI Distributions'!AS$38:AS$1048576,Table10[[#This Row],[Pcode]],'NFI Distributions'!AL$38:AL$1048576)</f>
        <v>0</v>
      </c>
      <c r="I86" s="116">
        <f>SUMIF('NFI Distributions'!AS$38:AS$1048576,Table10[[#This Row],[Pcode]],'NFI Distributions'!AM$38:AM$1048576)</f>
        <v>0</v>
      </c>
      <c r="J86" s="116" t="e">
        <f ca="1">MAX(Table10[[#This Row],[HH]]*VLOOKUP("Winter Clothes Adult",NFI,6)-Table10[[#This Row],[Winter Clothes Adult ]],0)</f>
        <v>#N/A</v>
      </c>
      <c r="K86" s="116" t="e">
        <f ca="1">MAX(Table10[[#This Row],[HH]]*VLOOKUP("Winter Clothes Children ",NFI,6)-Table10[[#This Row],[Winter Clothes Children ]],0)</f>
        <v>#N/A</v>
      </c>
      <c r="L86" s="116" t="e">
        <f ca="1">MAX(Table10[[#This Row],[HH]]*VLOOKUP("Winter Items Other ",NFI,6)-Table10[[#This Row],[Winter Items Other ]],0)</f>
        <v>#N/A</v>
      </c>
      <c r="M86" s="129" t="str">
        <f>IF(OR(Table10[[#This Row],[Winter Clothes Adult ]]&lt;&gt;0,Table10[[#This Row],[Winter Clothes Children ]]&lt;&gt;0,Table10[[#This Row],[Winter Items Other ]]&lt;&gt;0),"No","")</f>
        <v/>
      </c>
      <c r="N86" s="130">
        <f>COUNTIF(A:A,Table10[[#This Row],[Pcode]])-1</f>
        <v>0</v>
      </c>
    </row>
    <row r="87" spans="1:14" x14ac:dyDescent="0.25">
      <c r="A87" s="110"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Shwegu</v>
      </c>
      <c r="E87" s="116">
        <f ca="1">OFFSET(CampList[HH],MATCH(Table10[[#This Row],[Pcode]],CampList[CP_Pcode],0)-1,0,1,1)</f>
        <v>375</v>
      </c>
      <c r="F87" s="116">
        <f ca="1">OFFSET(CampList[Total],MATCH(Table10[[#This Row],[Pcode]],CampList[CP_Pcode],0)-1,0,1,1)</f>
        <v>1691</v>
      </c>
      <c r="G87" s="116">
        <f>SUMIF('NFI Distributions'!AS$38:AS$1048576,Table10[[#This Row],[Pcode]],'NFI Distributions'!AK$38:AK$1048576)</f>
        <v>0</v>
      </c>
      <c r="H87" s="116">
        <f>SUMIF('NFI Distributions'!AS$38:AS$1048576,Table10[[#This Row],[Pcode]],'NFI Distributions'!AL$38:AL$1048576)</f>
        <v>0</v>
      </c>
      <c r="I87" s="116">
        <f>SUMIF('NFI Distributions'!AS$38:AS$1048576,Table10[[#This Row],[Pcode]],'NFI Distributions'!AM$38:AM$1048576)</f>
        <v>0</v>
      </c>
      <c r="J87" s="116">
        <f ca="1">MAX(Table10[[#This Row],[HH]]*VLOOKUP("Winter Clothes Adult",NFI,6)-Table10[[#This Row],[Winter Clothes Adult ]],0)</f>
        <v>750</v>
      </c>
      <c r="K87" s="116">
        <f ca="1">MAX(Table10[[#This Row],[HH]]*VLOOKUP("Winter Clothes Children ",NFI,6)-Table10[[#This Row],[Winter Clothes Children ]],0)</f>
        <v>375</v>
      </c>
      <c r="L87" s="116">
        <f ca="1">MAX(Table10[[#This Row],[HH]]*VLOOKUP("Winter Items Other ",NFI,6)-Table10[[#This Row],[Winter Items Other ]],0)</f>
        <v>375</v>
      </c>
      <c r="M87" s="129" t="str">
        <f>IF(OR(Table10[[#This Row],[Winter Clothes Adult ]]&lt;&gt;0,Table10[[#This Row],[Winter Clothes Children ]]&lt;&gt;0,Table10[[#This Row],[Winter Items Other ]]&lt;&gt;0),"No","")</f>
        <v/>
      </c>
      <c r="N87" s="130">
        <f>COUNTIF(A:A,Table10[[#This Row],[Pcode]])-1</f>
        <v>0</v>
      </c>
    </row>
    <row r="88" spans="1:14" x14ac:dyDescent="0.25">
      <c r="A88" s="110"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16">
        <f ca="1">OFFSET(CampList[HH],MATCH(Table10[[#This Row],[Pcode]],CampList[CP_Pcode],0)-1,0,1,1)</f>
        <v>105</v>
      </c>
      <c r="F88" s="116">
        <f ca="1">OFFSET(CampList[Total],MATCH(Table10[[#This Row],[Pcode]],CampList[CP_Pcode],0)-1,0,1,1)</f>
        <v>577</v>
      </c>
      <c r="G88" s="116">
        <f>SUMIF('NFI Distributions'!AS$38:AS$1048576,Table10[[#This Row],[Pcode]],'NFI Distributions'!AK$38:AK$1048576)</f>
        <v>0</v>
      </c>
      <c r="H88" s="116">
        <f>SUMIF('NFI Distributions'!AS$38:AS$1048576,Table10[[#This Row],[Pcode]],'NFI Distributions'!AL$38:AL$1048576)</f>
        <v>0</v>
      </c>
      <c r="I88" s="116">
        <f>SUMIF('NFI Distributions'!AS$38:AS$1048576,Table10[[#This Row],[Pcode]],'NFI Distributions'!AM$38:AM$1048576)</f>
        <v>0</v>
      </c>
      <c r="J88" s="116">
        <f ca="1">MAX(Table10[[#This Row],[HH]]*VLOOKUP("Winter Clothes Adult",NFI,6)-Table10[[#This Row],[Winter Clothes Adult ]],0)</f>
        <v>210</v>
      </c>
      <c r="K88" s="116">
        <f ca="1">MAX(Table10[[#This Row],[HH]]*VLOOKUP("Winter Clothes Children ",NFI,6)-Table10[[#This Row],[Winter Clothes Children ]],0)</f>
        <v>105</v>
      </c>
      <c r="L88" s="116">
        <f ca="1">MAX(Table10[[#This Row],[HH]]*VLOOKUP("Winter Items Other ",NFI,6)-Table10[[#This Row],[Winter Items Other ]],0)</f>
        <v>105</v>
      </c>
      <c r="M88" s="129" t="str">
        <f>IF(OR(Table10[[#This Row],[Winter Clothes Adult ]]&lt;&gt;0,Table10[[#This Row],[Winter Clothes Children ]]&lt;&gt;0,Table10[[#This Row],[Winter Items Other ]]&lt;&gt;0),"No","")</f>
        <v/>
      </c>
      <c r="N88" s="130">
        <f>COUNTIF(A:A,Table10[[#This Row],[Pcode]])-1</f>
        <v>0</v>
      </c>
    </row>
    <row r="89" spans="1:14" x14ac:dyDescent="0.25">
      <c r="A89" s="110"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16">
        <f ca="1">OFFSET(CampList[HH],MATCH(Table10[[#This Row],[Pcode]],CampList[CP_Pcode],0)-1,0,1,1)</f>
        <v>139</v>
      </c>
      <c r="F89" s="116">
        <f ca="1">OFFSET(CampList[Total],MATCH(Table10[[#This Row],[Pcode]],CampList[CP_Pcode],0)-1,0,1,1)</f>
        <v>707</v>
      </c>
      <c r="G89" s="116">
        <f>SUMIF('NFI Distributions'!AS$38:AS$1048576,Table10[[#This Row],[Pcode]],'NFI Distributions'!AK$38:AK$1048576)</f>
        <v>0</v>
      </c>
      <c r="H89" s="116">
        <f>SUMIF('NFI Distributions'!AS$38:AS$1048576,Table10[[#This Row],[Pcode]],'NFI Distributions'!AL$38:AL$1048576)</f>
        <v>0</v>
      </c>
      <c r="I89" s="116">
        <f>SUMIF('NFI Distributions'!AS$38:AS$1048576,Table10[[#This Row],[Pcode]],'NFI Distributions'!AM$38:AM$1048576)</f>
        <v>0</v>
      </c>
      <c r="J89" s="116">
        <f ca="1">MAX(Table10[[#This Row],[HH]]*VLOOKUP("Winter Clothes Adult",NFI,6)-Table10[[#This Row],[Winter Clothes Adult ]],0)</f>
        <v>278</v>
      </c>
      <c r="K89" s="116">
        <f ca="1">MAX(Table10[[#This Row],[HH]]*VLOOKUP("Winter Clothes Children ",NFI,6)-Table10[[#This Row],[Winter Clothes Children ]],0)</f>
        <v>139</v>
      </c>
      <c r="L89" s="116">
        <f ca="1">MAX(Table10[[#This Row],[HH]]*VLOOKUP("Winter Items Other ",NFI,6)-Table10[[#This Row],[Winter Items Other ]],0)</f>
        <v>139</v>
      </c>
      <c r="M89" s="129" t="str">
        <f>IF(OR(Table10[[#This Row],[Winter Clothes Adult ]]&lt;&gt;0,Table10[[#This Row],[Winter Clothes Children ]]&lt;&gt;0,Table10[[#This Row],[Winter Items Other ]]&lt;&gt;0),"No","")</f>
        <v/>
      </c>
      <c r="N89" s="130">
        <f>COUNTIF(A:A,Table10[[#This Row],[Pcode]])-1</f>
        <v>0</v>
      </c>
    </row>
    <row r="90" spans="1:14" x14ac:dyDescent="0.25">
      <c r="A90" s="110"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16">
        <f ca="1">OFFSET(CampList[HH],MATCH(Table10[[#This Row],[Pcode]],CampList[CP_Pcode],0)-1,0,1,1)</f>
        <v>19</v>
      </c>
      <c r="F90" s="116">
        <f ca="1">OFFSET(CampList[Total],MATCH(Table10[[#This Row],[Pcode]],CampList[CP_Pcode],0)-1,0,1,1)</f>
        <v>100</v>
      </c>
      <c r="G90" s="116">
        <f>SUMIF('NFI Distributions'!AS$38:AS$1048576,Table10[[#This Row],[Pcode]],'NFI Distributions'!AK$38:AK$1048576)</f>
        <v>0</v>
      </c>
      <c r="H90" s="116">
        <f>SUMIF('NFI Distributions'!AS$38:AS$1048576,Table10[[#This Row],[Pcode]],'NFI Distributions'!AL$38:AL$1048576)</f>
        <v>0</v>
      </c>
      <c r="I90" s="116">
        <f>SUMIF('NFI Distributions'!AS$38:AS$1048576,Table10[[#This Row],[Pcode]],'NFI Distributions'!AM$38:AM$1048576)</f>
        <v>0</v>
      </c>
      <c r="J90" s="116">
        <f ca="1">MAX(Table10[[#This Row],[HH]]*VLOOKUP("Winter Clothes Adult",NFI,6)-Table10[[#This Row],[Winter Clothes Adult ]],0)</f>
        <v>38</v>
      </c>
      <c r="K90" s="116">
        <f ca="1">MAX(Table10[[#This Row],[HH]]*VLOOKUP("Winter Clothes Children ",NFI,6)-Table10[[#This Row],[Winter Clothes Children ]],0)</f>
        <v>19</v>
      </c>
      <c r="L90" s="116">
        <f ca="1">MAX(Table10[[#This Row],[HH]]*VLOOKUP("Winter Items Other ",NFI,6)-Table10[[#This Row],[Winter Items Other ]],0)</f>
        <v>19</v>
      </c>
      <c r="M90" s="129" t="str">
        <f>IF(OR(Table10[[#This Row],[Winter Clothes Adult ]]&lt;&gt;0,Table10[[#This Row],[Winter Clothes Children ]]&lt;&gt;0,Table10[[#This Row],[Winter Items Other ]]&lt;&gt;0),"No","")</f>
        <v/>
      </c>
      <c r="N90" s="130">
        <f>COUNTIF(A:A,Table10[[#This Row],[Pcode]])-1</f>
        <v>0</v>
      </c>
    </row>
    <row r="91" spans="1:14" x14ac:dyDescent="0.25">
      <c r="A91" s="110"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16">
        <f ca="1">OFFSET(CampList[HH],MATCH(Table10[[#This Row],[Pcode]],CampList[CP_Pcode],0)-1,0,1,1)</f>
        <v>12</v>
      </c>
      <c r="F91" s="116">
        <f ca="1">OFFSET(CampList[Total],MATCH(Table10[[#This Row],[Pcode]],CampList[CP_Pcode],0)-1,0,1,1)</f>
        <v>62</v>
      </c>
      <c r="G91" s="116">
        <f>SUMIF('NFI Distributions'!AS$38:AS$1048576,Table10[[#This Row],[Pcode]],'NFI Distributions'!AK$38:AK$1048576)</f>
        <v>0</v>
      </c>
      <c r="H91" s="116">
        <f>SUMIF('NFI Distributions'!AS$38:AS$1048576,Table10[[#This Row],[Pcode]],'NFI Distributions'!AL$38:AL$1048576)</f>
        <v>0</v>
      </c>
      <c r="I91" s="116">
        <f>SUMIF('NFI Distributions'!AS$38:AS$1048576,Table10[[#This Row],[Pcode]],'NFI Distributions'!AM$38:AM$1048576)</f>
        <v>0</v>
      </c>
      <c r="J91" s="116">
        <f ca="1">MAX(Table10[[#This Row],[HH]]*VLOOKUP("Winter Clothes Adult",NFI,6)-Table10[[#This Row],[Winter Clothes Adult ]],0)</f>
        <v>24</v>
      </c>
      <c r="K91" s="116">
        <f ca="1">MAX(Table10[[#This Row],[HH]]*VLOOKUP("Winter Clothes Children ",NFI,6)-Table10[[#This Row],[Winter Clothes Children ]],0)</f>
        <v>12</v>
      </c>
      <c r="L91" s="116">
        <f ca="1">MAX(Table10[[#This Row],[HH]]*VLOOKUP("Winter Items Other ",NFI,6)-Table10[[#This Row],[Winter Items Other ]],0)</f>
        <v>12</v>
      </c>
      <c r="M91" s="129" t="str">
        <f>IF(OR(Table10[[#This Row],[Winter Clothes Adult ]]&lt;&gt;0,Table10[[#This Row],[Winter Clothes Children ]]&lt;&gt;0,Table10[[#This Row],[Winter Items Other ]]&lt;&gt;0),"No","")</f>
        <v/>
      </c>
      <c r="N91" s="130">
        <f>COUNTIF(A:A,Table10[[#This Row],[Pcode]])-1</f>
        <v>0</v>
      </c>
    </row>
    <row r="92" spans="1:14" x14ac:dyDescent="0.25">
      <c r="A92" s="110"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16">
        <f ca="1">OFFSET(CampList[HH],MATCH(Table10[[#This Row],[Pcode]],CampList[CP_Pcode],0)-1,0,1,1)</f>
        <v>129</v>
      </c>
      <c r="F92" s="116">
        <f ca="1">OFFSET(CampList[Total],MATCH(Table10[[#This Row],[Pcode]],CampList[CP_Pcode],0)-1,0,1,1)</f>
        <v>740</v>
      </c>
      <c r="G92" s="116">
        <f>SUMIF('NFI Distributions'!AS$38:AS$1048576,Table10[[#This Row],[Pcode]],'NFI Distributions'!AK$38:AK$1048576)</f>
        <v>0</v>
      </c>
      <c r="H92" s="116">
        <f>SUMIF('NFI Distributions'!AS$38:AS$1048576,Table10[[#This Row],[Pcode]],'NFI Distributions'!AL$38:AL$1048576)</f>
        <v>0</v>
      </c>
      <c r="I92" s="116">
        <f>SUMIF('NFI Distributions'!AS$38:AS$1048576,Table10[[#This Row],[Pcode]],'NFI Distributions'!AM$38:AM$1048576)</f>
        <v>0</v>
      </c>
      <c r="J92" s="116">
        <f ca="1">MAX(Table10[[#This Row],[HH]]*VLOOKUP("Winter Clothes Adult",NFI,6)-Table10[[#This Row],[Winter Clothes Adult ]],0)</f>
        <v>258</v>
      </c>
      <c r="K92" s="116">
        <f ca="1">MAX(Table10[[#This Row],[HH]]*VLOOKUP("Winter Clothes Children ",NFI,6)-Table10[[#This Row],[Winter Clothes Children ]],0)</f>
        <v>129</v>
      </c>
      <c r="L92" s="116">
        <f ca="1">MAX(Table10[[#This Row],[HH]]*VLOOKUP("Winter Items Other ",NFI,6)-Table10[[#This Row],[Winter Items Other ]],0)</f>
        <v>129</v>
      </c>
      <c r="M92" s="129" t="str">
        <f>IF(OR(Table10[[#This Row],[Winter Clothes Adult ]]&lt;&gt;0,Table10[[#This Row],[Winter Clothes Children ]]&lt;&gt;0,Table10[[#This Row],[Winter Items Other ]]&lt;&gt;0),"No","")</f>
        <v/>
      </c>
      <c r="N92" s="130">
        <f>COUNTIF(A:A,Table10[[#This Row],[Pcode]])-1</f>
        <v>0</v>
      </c>
    </row>
    <row r="93" spans="1:14" x14ac:dyDescent="0.25">
      <c r="A93" s="110"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16">
        <f ca="1">OFFSET(CampList[HH],MATCH(Table10[[#This Row],[Pcode]],CampList[CP_Pcode],0)-1,0,1,1)</f>
        <v>30</v>
      </c>
      <c r="F93" s="116">
        <f ca="1">OFFSET(CampList[Total],MATCH(Table10[[#This Row],[Pcode]],CampList[CP_Pcode],0)-1,0,1,1)</f>
        <v>165</v>
      </c>
      <c r="G93" s="116">
        <f>SUMIF('NFI Distributions'!AS$38:AS$1048576,Table10[[#This Row],[Pcode]],'NFI Distributions'!AK$38:AK$1048576)</f>
        <v>0</v>
      </c>
      <c r="H93" s="116">
        <f>SUMIF('NFI Distributions'!AS$38:AS$1048576,Table10[[#This Row],[Pcode]],'NFI Distributions'!AL$38:AL$1048576)</f>
        <v>0</v>
      </c>
      <c r="I93" s="116">
        <f>SUMIF('NFI Distributions'!AS$38:AS$1048576,Table10[[#This Row],[Pcode]],'NFI Distributions'!AM$38:AM$1048576)</f>
        <v>0</v>
      </c>
      <c r="J93" s="116">
        <f ca="1">MAX(Table10[[#This Row],[HH]]*VLOOKUP("Winter Clothes Adult",NFI,6)-Table10[[#This Row],[Winter Clothes Adult ]],0)</f>
        <v>60</v>
      </c>
      <c r="K93" s="116">
        <f ca="1">MAX(Table10[[#This Row],[HH]]*VLOOKUP("Winter Clothes Children ",NFI,6)-Table10[[#This Row],[Winter Clothes Children ]],0)</f>
        <v>30</v>
      </c>
      <c r="L93" s="116">
        <f ca="1">MAX(Table10[[#This Row],[HH]]*VLOOKUP("Winter Items Other ",NFI,6)-Table10[[#This Row],[Winter Items Other ]],0)</f>
        <v>30</v>
      </c>
      <c r="M93" s="129" t="str">
        <f>IF(OR(Table10[[#This Row],[Winter Clothes Adult ]]&lt;&gt;0,Table10[[#This Row],[Winter Clothes Children ]]&lt;&gt;0,Table10[[#This Row],[Winter Items Other ]]&lt;&gt;0),"No","")</f>
        <v/>
      </c>
      <c r="N93" s="130">
        <f>COUNTIF(A:A,Table10[[#This Row],[Pcode]])-1</f>
        <v>0</v>
      </c>
    </row>
    <row r="94" spans="1:14" x14ac:dyDescent="0.25">
      <c r="A94" s="110"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16">
        <f ca="1">OFFSET(CampList[HH],MATCH(Table10[[#This Row],[Pcode]],CampList[CP_Pcode],0)-1,0,1,1)</f>
        <v>0</v>
      </c>
      <c r="F94" s="116">
        <f ca="1">OFFSET(CampList[Total],MATCH(Table10[[#This Row],[Pcode]],CampList[CP_Pcode],0)-1,0,1,1)</f>
        <v>0</v>
      </c>
      <c r="G94" s="116">
        <f>SUMIF('NFI Distributions'!AS$38:AS$1048576,Table10[[#This Row],[Pcode]],'NFI Distributions'!AK$38:AK$1048576)</f>
        <v>0</v>
      </c>
      <c r="H94" s="116">
        <f>SUMIF('NFI Distributions'!AS$38:AS$1048576,Table10[[#This Row],[Pcode]],'NFI Distributions'!AL$38:AL$1048576)</f>
        <v>0</v>
      </c>
      <c r="I94" s="116">
        <f>SUMIF('NFI Distributions'!AS$38:AS$1048576,Table10[[#This Row],[Pcode]],'NFI Distributions'!AM$38:AM$1048576)</f>
        <v>0</v>
      </c>
      <c r="J94" s="116">
        <f ca="1">MAX(Table10[[#This Row],[HH]]*VLOOKUP("Winter Clothes Adult",NFI,6)-Table10[[#This Row],[Winter Clothes Adult ]],0)</f>
        <v>0</v>
      </c>
      <c r="K94" s="116">
        <f ca="1">MAX(Table10[[#This Row],[HH]]*VLOOKUP("Winter Clothes Children ",NFI,6)-Table10[[#This Row],[Winter Clothes Children ]],0)</f>
        <v>0</v>
      </c>
      <c r="L94" s="116">
        <f ca="1">MAX(Table10[[#This Row],[HH]]*VLOOKUP("Winter Items Other ",NFI,6)-Table10[[#This Row],[Winter Items Other ]],0)</f>
        <v>0</v>
      </c>
      <c r="M94" s="129" t="str">
        <f>IF(OR(Table10[[#This Row],[Winter Clothes Adult ]]&lt;&gt;0,Table10[[#This Row],[Winter Clothes Children ]]&lt;&gt;0,Table10[[#This Row],[Winter Items Other ]]&lt;&gt;0),"No","")</f>
        <v/>
      </c>
      <c r="N94" s="130">
        <f>COUNTIF(A:A,Table10[[#This Row],[Pcode]])-1</f>
        <v>0</v>
      </c>
    </row>
    <row r="95" spans="1:14" x14ac:dyDescent="0.25">
      <c r="A95" s="110"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16">
        <f ca="1">OFFSET(CampList[HH],MATCH(Table10[[#This Row],[Pcode]],CampList[CP_Pcode],0)-1,0,1,1)</f>
        <v>333</v>
      </c>
      <c r="F95" s="116">
        <f ca="1">OFFSET(CampList[Total],MATCH(Table10[[#This Row],[Pcode]],CampList[CP_Pcode],0)-1,0,1,1)</f>
        <v>1800</v>
      </c>
      <c r="G95" s="116">
        <f>SUMIF('NFI Distributions'!AS$38:AS$1048576,Table10[[#This Row],[Pcode]],'NFI Distributions'!AK$38:AK$1048576)</f>
        <v>0</v>
      </c>
      <c r="H95" s="116">
        <f>SUMIF('NFI Distributions'!AS$38:AS$1048576,Table10[[#This Row],[Pcode]],'NFI Distributions'!AL$38:AL$1048576)</f>
        <v>0</v>
      </c>
      <c r="I95" s="116">
        <f>SUMIF('NFI Distributions'!AS$38:AS$1048576,Table10[[#This Row],[Pcode]],'NFI Distributions'!AM$38:AM$1048576)</f>
        <v>0</v>
      </c>
      <c r="J95" s="116">
        <f ca="1">MAX(Table10[[#This Row],[HH]]*VLOOKUP("Winter Clothes Adult",NFI,6)-Table10[[#This Row],[Winter Clothes Adult ]],0)</f>
        <v>666</v>
      </c>
      <c r="K95" s="116">
        <f ca="1">MAX(Table10[[#This Row],[HH]]*VLOOKUP("Winter Clothes Children ",NFI,6)-Table10[[#This Row],[Winter Clothes Children ]],0)</f>
        <v>333</v>
      </c>
      <c r="L95" s="116">
        <f ca="1">MAX(Table10[[#This Row],[HH]]*VLOOKUP("Winter Items Other ",NFI,6)-Table10[[#This Row],[Winter Items Other ]],0)</f>
        <v>333</v>
      </c>
      <c r="M95" s="129" t="str">
        <f>IF(OR(Table10[[#This Row],[Winter Clothes Adult ]]&lt;&gt;0,Table10[[#This Row],[Winter Clothes Children ]]&lt;&gt;0,Table10[[#This Row],[Winter Items Other ]]&lt;&gt;0),"No","")</f>
        <v/>
      </c>
      <c r="N95" s="130">
        <f>COUNTIF(A:A,Table10[[#This Row],[Pcode]])-1</f>
        <v>0</v>
      </c>
    </row>
    <row r="96" spans="1:14" x14ac:dyDescent="0.25">
      <c r="A96" s="110"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16">
        <f ca="1">OFFSET(CampList[HH],MATCH(Table10[[#This Row],[Pcode]],CampList[CP_Pcode],0)-1,0,1,1)</f>
        <v>282</v>
      </c>
      <c r="F96" s="116">
        <f ca="1">OFFSET(CampList[Total],MATCH(Table10[[#This Row],[Pcode]],CampList[CP_Pcode],0)-1,0,1,1)</f>
        <v>1478</v>
      </c>
      <c r="G96" s="116">
        <f>SUMIF('NFI Distributions'!AS$38:AS$1048576,Table10[[#This Row],[Pcode]],'NFI Distributions'!AK$38:AK$1048576)</f>
        <v>0</v>
      </c>
      <c r="H96" s="116">
        <f>SUMIF('NFI Distributions'!AS$38:AS$1048576,Table10[[#This Row],[Pcode]],'NFI Distributions'!AL$38:AL$1048576)</f>
        <v>0</v>
      </c>
      <c r="I96" s="116">
        <f>SUMIF('NFI Distributions'!AS$38:AS$1048576,Table10[[#This Row],[Pcode]],'NFI Distributions'!AM$38:AM$1048576)</f>
        <v>0</v>
      </c>
      <c r="J96" s="116">
        <f ca="1">MAX(Table10[[#This Row],[HH]]*VLOOKUP("Winter Clothes Adult",NFI,6)-Table10[[#This Row],[Winter Clothes Adult ]],0)</f>
        <v>564</v>
      </c>
      <c r="K96" s="116">
        <f ca="1">MAX(Table10[[#This Row],[HH]]*VLOOKUP("Winter Clothes Children ",NFI,6)-Table10[[#This Row],[Winter Clothes Children ]],0)</f>
        <v>282</v>
      </c>
      <c r="L96" s="116">
        <f ca="1">MAX(Table10[[#This Row],[HH]]*VLOOKUP("Winter Items Other ",NFI,6)-Table10[[#This Row],[Winter Items Other ]],0)</f>
        <v>282</v>
      </c>
      <c r="M96" s="129" t="str">
        <f>IF(OR(Table10[[#This Row],[Winter Clothes Adult ]]&lt;&gt;0,Table10[[#This Row],[Winter Clothes Children ]]&lt;&gt;0,Table10[[#This Row],[Winter Items Other ]]&lt;&gt;0),"No","")</f>
        <v/>
      </c>
      <c r="N96" s="130">
        <f>COUNTIF(A:A,Table10[[#This Row],[Pcode]])-1</f>
        <v>0</v>
      </c>
    </row>
    <row r="97" spans="1:14" x14ac:dyDescent="0.25">
      <c r="A97" s="110"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16">
        <f ca="1">OFFSET(CampList[HH],MATCH(Table10[[#This Row],[Pcode]],CampList[CP_Pcode],0)-1,0,1,1)</f>
        <v>499</v>
      </c>
      <c r="F97" s="116">
        <f ca="1">OFFSET(CampList[Total],MATCH(Table10[[#This Row],[Pcode]],CampList[CP_Pcode],0)-1,0,1,1)</f>
        <v>2543</v>
      </c>
      <c r="G97" s="116">
        <f>SUMIF('NFI Distributions'!AS$38:AS$1048576,Table10[[#This Row],[Pcode]],'NFI Distributions'!AK$38:AK$1048576)</f>
        <v>0</v>
      </c>
      <c r="H97" s="116">
        <f>SUMIF('NFI Distributions'!AS$38:AS$1048576,Table10[[#This Row],[Pcode]],'NFI Distributions'!AL$38:AL$1048576)</f>
        <v>0</v>
      </c>
      <c r="I97" s="116">
        <f>SUMIF('NFI Distributions'!AS$38:AS$1048576,Table10[[#This Row],[Pcode]],'NFI Distributions'!AM$38:AM$1048576)</f>
        <v>0</v>
      </c>
      <c r="J97" s="116">
        <f ca="1">MAX(Table10[[#This Row],[HH]]*VLOOKUP("Winter Clothes Adult",NFI,6)-Table10[[#This Row],[Winter Clothes Adult ]],0)</f>
        <v>998</v>
      </c>
      <c r="K97" s="116">
        <f ca="1">MAX(Table10[[#This Row],[HH]]*VLOOKUP("Winter Clothes Children ",NFI,6)-Table10[[#This Row],[Winter Clothes Children ]],0)</f>
        <v>499</v>
      </c>
      <c r="L97" s="116">
        <f ca="1">MAX(Table10[[#This Row],[HH]]*VLOOKUP("Winter Items Other ",NFI,6)-Table10[[#This Row],[Winter Items Other ]],0)</f>
        <v>499</v>
      </c>
      <c r="M97" s="129" t="str">
        <f>IF(OR(Table10[[#This Row],[Winter Clothes Adult ]]&lt;&gt;0,Table10[[#This Row],[Winter Clothes Children ]]&lt;&gt;0,Table10[[#This Row],[Winter Items Other ]]&lt;&gt;0),"No","")</f>
        <v/>
      </c>
      <c r="N97" s="130">
        <f>COUNTIF(A:A,Table10[[#This Row],[Pcode]])-1</f>
        <v>0</v>
      </c>
    </row>
    <row r="98" spans="1:14" x14ac:dyDescent="0.25">
      <c r="A98" s="110"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16">
        <f ca="1">OFFSET(CampList[HH],MATCH(Table10[[#This Row],[Pcode]],CampList[CP_Pcode],0)-1,0,1,1)</f>
        <v>46</v>
      </c>
      <c r="F98" s="116">
        <f ca="1">OFFSET(CampList[Total],MATCH(Table10[[#This Row],[Pcode]],CampList[CP_Pcode],0)-1,0,1,1)</f>
        <v>193</v>
      </c>
      <c r="G98" s="116">
        <f>SUMIF('NFI Distributions'!AS$38:AS$1048576,Table10[[#This Row],[Pcode]],'NFI Distributions'!AK$38:AK$1048576)</f>
        <v>0</v>
      </c>
      <c r="H98" s="116">
        <f>SUMIF('NFI Distributions'!AS$38:AS$1048576,Table10[[#This Row],[Pcode]],'NFI Distributions'!AL$38:AL$1048576)</f>
        <v>0</v>
      </c>
      <c r="I98" s="116">
        <f>SUMIF('NFI Distributions'!AS$38:AS$1048576,Table10[[#This Row],[Pcode]],'NFI Distributions'!AM$38:AM$1048576)</f>
        <v>0</v>
      </c>
      <c r="J98" s="116">
        <f ca="1">MAX(Table10[[#This Row],[HH]]*VLOOKUP("Winter Clothes Adult",NFI,6)-Table10[[#This Row],[Winter Clothes Adult ]],0)</f>
        <v>92</v>
      </c>
      <c r="K98" s="116">
        <f ca="1">MAX(Table10[[#This Row],[HH]]*VLOOKUP("Winter Clothes Children ",NFI,6)-Table10[[#This Row],[Winter Clothes Children ]],0)</f>
        <v>46</v>
      </c>
      <c r="L98" s="116">
        <f ca="1">MAX(Table10[[#This Row],[HH]]*VLOOKUP("Winter Items Other ",NFI,6)-Table10[[#This Row],[Winter Items Other ]],0)</f>
        <v>46</v>
      </c>
      <c r="M98" s="129" t="str">
        <f>IF(OR(Table10[[#This Row],[Winter Clothes Adult ]]&lt;&gt;0,Table10[[#This Row],[Winter Clothes Children ]]&lt;&gt;0,Table10[[#This Row],[Winter Items Other ]]&lt;&gt;0),"No","")</f>
        <v/>
      </c>
      <c r="N98" s="130">
        <f>COUNTIF(A:A,Table10[[#This Row],[Pcode]])-1</f>
        <v>0</v>
      </c>
    </row>
    <row r="99" spans="1:14" x14ac:dyDescent="0.25">
      <c r="A99" s="110" t="s">
        <v>814</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16">
        <f ca="1">OFFSET(CampList[HH],MATCH(Table10[[#This Row],[Pcode]],CampList[CP_Pcode],0)-1,0,1,1)</f>
        <v>405</v>
      </c>
      <c r="F99" s="116">
        <f ca="1">OFFSET(CampList[Total],MATCH(Table10[[#This Row],[Pcode]],CampList[CP_Pcode],0)-1,0,1,1)</f>
        <v>1855</v>
      </c>
      <c r="G99" s="116">
        <f>SUMIF('NFI Distributions'!AS$38:AS$1048576,Table10[[#This Row],[Pcode]],'NFI Distributions'!AK$38:AK$1048576)</f>
        <v>0</v>
      </c>
      <c r="H99" s="116">
        <f>SUMIF('NFI Distributions'!AS$38:AS$1048576,Table10[[#This Row],[Pcode]],'NFI Distributions'!AL$38:AL$1048576)</f>
        <v>0</v>
      </c>
      <c r="I99" s="116">
        <f>SUMIF('NFI Distributions'!AS$38:AS$1048576,Table10[[#This Row],[Pcode]],'NFI Distributions'!AM$38:AM$1048576)</f>
        <v>0</v>
      </c>
      <c r="J99" s="116">
        <f ca="1">MAX(Table10[[#This Row],[HH]]*VLOOKUP("Winter Clothes Adult",NFI,6)-Table10[[#This Row],[Winter Clothes Adult ]],0)</f>
        <v>810</v>
      </c>
      <c r="K99" s="116">
        <f ca="1">MAX(Table10[[#This Row],[HH]]*VLOOKUP("Winter Clothes Children ",NFI,6)-Table10[[#This Row],[Winter Clothes Children ]],0)</f>
        <v>405</v>
      </c>
      <c r="L99" s="116">
        <f ca="1">MAX(Table10[[#This Row],[HH]]*VLOOKUP("Winter Items Other ",NFI,6)-Table10[[#This Row],[Winter Items Other ]],0)</f>
        <v>405</v>
      </c>
      <c r="M99" s="129" t="str">
        <f>IF(OR(Table10[[#This Row],[Winter Clothes Adult ]]&lt;&gt;0,Table10[[#This Row],[Winter Clothes Children ]]&lt;&gt;0,Table10[[#This Row],[Winter Items Other ]]&lt;&gt;0),"No","")</f>
        <v/>
      </c>
      <c r="N99" s="130">
        <f>COUNTIF(A:A,Table10[[#This Row],[Pcode]])-1</f>
        <v>0</v>
      </c>
    </row>
    <row r="100" spans="1:14" x14ac:dyDescent="0.25">
      <c r="A100" s="110" t="s">
        <v>850</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16">
        <f ca="1">OFFSET(CampList[HH],MATCH(Table10[[#This Row],[Pcode]],CampList[CP_Pcode],0)-1,0,1,1)</f>
        <v>173</v>
      </c>
      <c r="F100" s="116">
        <f ca="1">OFFSET(CampList[Total],MATCH(Table10[[#This Row],[Pcode]],CampList[CP_Pcode],0)-1,0,1,1)</f>
        <v>780</v>
      </c>
      <c r="G100" s="116">
        <f>SUMIF('NFI Distributions'!AS$38:AS$1048576,Table10[[#This Row],[Pcode]],'NFI Distributions'!AK$38:AK$1048576)</f>
        <v>0</v>
      </c>
      <c r="H100" s="116">
        <f>SUMIF('NFI Distributions'!AS$38:AS$1048576,Table10[[#This Row],[Pcode]],'NFI Distributions'!AL$38:AL$1048576)</f>
        <v>0</v>
      </c>
      <c r="I100" s="116">
        <f>SUMIF('NFI Distributions'!AS$38:AS$1048576,Table10[[#This Row],[Pcode]],'NFI Distributions'!AM$38:AM$1048576)</f>
        <v>0</v>
      </c>
      <c r="J100" s="116">
        <f ca="1">MAX(Table10[[#This Row],[HH]]*VLOOKUP("Winter Clothes Adult",NFI,6)-Table10[[#This Row],[Winter Clothes Adult ]],0)</f>
        <v>346</v>
      </c>
      <c r="K100" s="116">
        <f ca="1">MAX(Table10[[#This Row],[HH]]*VLOOKUP("Winter Clothes Children ",NFI,6)-Table10[[#This Row],[Winter Clothes Children ]],0)</f>
        <v>173</v>
      </c>
      <c r="L100" s="116">
        <f ca="1">MAX(Table10[[#This Row],[HH]]*VLOOKUP("Winter Items Other ",NFI,6)-Table10[[#This Row],[Winter Items Other ]],0)</f>
        <v>173</v>
      </c>
      <c r="M100" s="129" t="str">
        <f>IF(OR(Table10[[#This Row],[Winter Clothes Adult ]]&lt;&gt;0,Table10[[#This Row],[Winter Clothes Children ]]&lt;&gt;0,Table10[[#This Row],[Winter Items Other ]]&lt;&gt;0),"No","")</f>
        <v/>
      </c>
      <c r="N100" s="130">
        <f>COUNTIF(A:A,Table10[[#This Row],[Pcode]])-1</f>
        <v>0</v>
      </c>
    </row>
    <row r="101" spans="1:14" x14ac:dyDescent="0.25">
      <c r="A101" s="110"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16">
        <f ca="1">OFFSET(CampList[HH],MATCH(Table10[[#This Row],[Pcode]],CampList[CP_Pcode],0)-1,0,1,1)</f>
        <v>75</v>
      </c>
      <c r="F101" s="116">
        <f ca="1">OFFSET(CampList[Total],MATCH(Table10[[#This Row],[Pcode]],CampList[CP_Pcode],0)-1,0,1,1)</f>
        <v>395</v>
      </c>
      <c r="G101" s="116">
        <f>SUMIF('NFI Distributions'!AS$38:AS$1048576,Table10[[#This Row],[Pcode]],'NFI Distributions'!AK$38:AK$1048576)</f>
        <v>0</v>
      </c>
      <c r="H101" s="116">
        <f>SUMIF('NFI Distributions'!AS$38:AS$1048576,Table10[[#This Row],[Pcode]],'NFI Distributions'!AL$38:AL$1048576)</f>
        <v>0</v>
      </c>
      <c r="I101" s="116">
        <f>SUMIF('NFI Distributions'!AS$38:AS$1048576,Table10[[#This Row],[Pcode]],'NFI Distributions'!AM$38:AM$1048576)</f>
        <v>0</v>
      </c>
      <c r="J101" s="116">
        <f ca="1">MAX(Table10[[#This Row],[HH]]*VLOOKUP("Winter Clothes Adult",NFI,6)-Table10[[#This Row],[Winter Clothes Adult ]],0)</f>
        <v>150</v>
      </c>
      <c r="K101" s="116">
        <f ca="1">MAX(Table10[[#This Row],[HH]]*VLOOKUP("Winter Clothes Children ",NFI,6)-Table10[[#This Row],[Winter Clothes Children ]],0)</f>
        <v>75</v>
      </c>
      <c r="L101" s="116">
        <f ca="1">MAX(Table10[[#This Row],[HH]]*VLOOKUP("Winter Items Other ",NFI,6)-Table10[[#This Row],[Winter Items Other ]],0)</f>
        <v>75</v>
      </c>
      <c r="M101" s="129" t="str">
        <f>IF(OR(Table10[[#This Row],[Winter Clothes Adult ]]&lt;&gt;0,Table10[[#This Row],[Winter Clothes Children ]]&lt;&gt;0,Table10[[#This Row],[Winter Items Other ]]&lt;&gt;0),"No","")</f>
        <v/>
      </c>
      <c r="N101" s="130">
        <f>COUNTIF(A:A,Table10[[#This Row],[Pcode]])-1</f>
        <v>0</v>
      </c>
    </row>
    <row r="102" spans="1:14" x14ac:dyDescent="0.25">
      <c r="A102" s="110"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16">
        <f ca="1">OFFSET(CampList[HH],MATCH(Table10[[#This Row],[Pcode]],CampList[CP_Pcode],0)-1,0,1,1)</f>
        <v>265</v>
      </c>
      <c r="F102" s="116">
        <f ca="1">OFFSET(CampList[Total],MATCH(Table10[[#This Row],[Pcode]],CampList[CP_Pcode],0)-1,0,1,1)</f>
        <v>1181</v>
      </c>
      <c r="G102" s="116">
        <f>SUMIF('NFI Distributions'!AS$38:AS$1048576,Table10[[#This Row],[Pcode]],'NFI Distributions'!AK$38:AK$1048576)</f>
        <v>0</v>
      </c>
      <c r="H102" s="116">
        <f>SUMIF('NFI Distributions'!AS$38:AS$1048576,Table10[[#This Row],[Pcode]],'NFI Distributions'!AL$38:AL$1048576)</f>
        <v>0</v>
      </c>
      <c r="I102" s="116">
        <f>SUMIF('NFI Distributions'!AS$38:AS$1048576,Table10[[#This Row],[Pcode]],'NFI Distributions'!AM$38:AM$1048576)</f>
        <v>0</v>
      </c>
      <c r="J102" s="116">
        <f ca="1">MAX(Table10[[#This Row],[HH]]*VLOOKUP("Winter Clothes Adult",NFI,6)-Table10[[#This Row],[Winter Clothes Adult ]],0)</f>
        <v>530</v>
      </c>
      <c r="K102" s="116">
        <f ca="1">MAX(Table10[[#This Row],[HH]]*VLOOKUP("Winter Clothes Children ",NFI,6)-Table10[[#This Row],[Winter Clothes Children ]],0)</f>
        <v>265</v>
      </c>
      <c r="L102" s="116">
        <f ca="1">MAX(Table10[[#This Row],[HH]]*VLOOKUP("Winter Items Other ",NFI,6)-Table10[[#This Row],[Winter Items Other ]],0)</f>
        <v>265</v>
      </c>
      <c r="M102" s="129" t="str">
        <f>IF(OR(Table10[[#This Row],[Winter Clothes Adult ]]&lt;&gt;0,Table10[[#This Row],[Winter Clothes Children ]]&lt;&gt;0,Table10[[#This Row],[Winter Items Other ]]&lt;&gt;0),"No","")</f>
        <v/>
      </c>
      <c r="N102" s="130">
        <f>COUNTIF(A:A,Table10[[#This Row],[Pcode]])-1</f>
        <v>0</v>
      </c>
    </row>
    <row r="103" spans="1:14" x14ac:dyDescent="0.25">
      <c r="A103" s="110"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16">
        <f ca="1">OFFSET(CampList[HH],MATCH(Table10[[#This Row],[Pcode]],CampList[CP_Pcode],0)-1,0,1,1)</f>
        <v>103</v>
      </c>
      <c r="F103" s="116">
        <f ca="1">OFFSET(CampList[Total],MATCH(Table10[[#This Row],[Pcode]],CampList[CP_Pcode],0)-1,0,1,1)</f>
        <v>581</v>
      </c>
      <c r="G103" s="116">
        <f>SUMIF('NFI Distributions'!AS$38:AS$1048576,Table10[[#This Row],[Pcode]],'NFI Distributions'!AK$38:AK$1048576)</f>
        <v>0</v>
      </c>
      <c r="H103" s="116">
        <f>SUMIF('NFI Distributions'!AS$38:AS$1048576,Table10[[#This Row],[Pcode]],'NFI Distributions'!AL$38:AL$1048576)</f>
        <v>0</v>
      </c>
      <c r="I103" s="116">
        <f>SUMIF('NFI Distributions'!AS$38:AS$1048576,Table10[[#This Row],[Pcode]],'NFI Distributions'!AM$38:AM$1048576)</f>
        <v>0</v>
      </c>
      <c r="J103" s="116">
        <f ca="1">MAX(Table10[[#This Row],[HH]]*VLOOKUP("Winter Clothes Adult",NFI,6)-Table10[[#This Row],[Winter Clothes Adult ]],0)</f>
        <v>206</v>
      </c>
      <c r="K103" s="116">
        <f ca="1">MAX(Table10[[#This Row],[HH]]*VLOOKUP("Winter Clothes Children ",NFI,6)-Table10[[#This Row],[Winter Clothes Children ]],0)</f>
        <v>103</v>
      </c>
      <c r="L103" s="116">
        <f ca="1">MAX(Table10[[#This Row],[HH]]*VLOOKUP("Winter Items Other ",NFI,6)-Table10[[#This Row],[Winter Items Other ]],0)</f>
        <v>103</v>
      </c>
      <c r="M103" s="129" t="str">
        <f>IF(OR(Table10[[#This Row],[Winter Clothes Adult ]]&lt;&gt;0,Table10[[#This Row],[Winter Clothes Children ]]&lt;&gt;0,Table10[[#This Row],[Winter Items Other ]]&lt;&gt;0),"No","")</f>
        <v/>
      </c>
      <c r="N103" s="130">
        <f>COUNTIF(A:A,Table10[[#This Row],[Pcode]])-1</f>
        <v>0</v>
      </c>
    </row>
    <row r="104" spans="1:14" x14ac:dyDescent="0.25">
      <c r="A104" s="110"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16">
        <f ca="1">OFFSET(CampList[HH],MATCH(Table10[[#This Row],[Pcode]],CampList[CP_Pcode],0)-1,0,1,1)</f>
        <v>0</v>
      </c>
      <c r="F104" s="116">
        <f ca="1">OFFSET(CampList[Total],MATCH(Table10[[#This Row],[Pcode]],CampList[CP_Pcode],0)-1,0,1,1)</f>
        <v>0</v>
      </c>
      <c r="G104" s="116">
        <f>SUMIF('NFI Distributions'!AS$38:AS$1048576,Table10[[#This Row],[Pcode]],'NFI Distributions'!AK$38:AK$1048576)</f>
        <v>0</v>
      </c>
      <c r="H104" s="116">
        <f>SUMIF('NFI Distributions'!AS$38:AS$1048576,Table10[[#This Row],[Pcode]],'NFI Distributions'!AL$38:AL$1048576)</f>
        <v>0</v>
      </c>
      <c r="I104" s="116">
        <f>SUMIF('NFI Distributions'!AS$38:AS$1048576,Table10[[#This Row],[Pcode]],'NFI Distributions'!AM$38:AM$1048576)</f>
        <v>0</v>
      </c>
      <c r="J104" s="116">
        <f ca="1">MAX(Table10[[#This Row],[HH]]*VLOOKUP("Winter Clothes Adult",NFI,6)-Table10[[#This Row],[Winter Clothes Adult ]],0)</f>
        <v>0</v>
      </c>
      <c r="K104" s="116">
        <f ca="1">MAX(Table10[[#This Row],[HH]]*VLOOKUP("Winter Clothes Children ",NFI,6)-Table10[[#This Row],[Winter Clothes Children ]],0)</f>
        <v>0</v>
      </c>
      <c r="L104" s="116">
        <f ca="1">MAX(Table10[[#This Row],[HH]]*VLOOKUP("Winter Items Other ",NFI,6)-Table10[[#This Row],[Winter Items Other ]],0)</f>
        <v>0</v>
      </c>
      <c r="M104" s="129" t="str">
        <f>IF(OR(Table10[[#This Row],[Winter Clothes Adult ]]&lt;&gt;0,Table10[[#This Row],[Winter Clothes Children ]]&lt;&gt;0,Table10[[#This Row],[Winter Items Other ]]&lt;&gt;0),"No","")</f>
        <v/>
      </c>
      <c r="N104" s="130">
        <f>COUNTIF(A:A,Table10[[#This Row],[Pcode]])-1</f>
        <v>0</v>
      </c>
    </row>
    <row r="105" spans="1:14" x14ac:dyDescent="0.25">
      <c r="A105" s="110"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16">
        <f ca="1">OFFSET(CampList[HH],MATCH(Table10[[#This Row],[Pcode]],CampList[CP_Pcode],0)-1,0,1,1)</f>
        <v>0</v>
      </c>
      <c r="F105" s="116">
        <f ca="1">OFFSET(CampList[Total],MATCH(Table10[[#This Row],[Pcode]],CampList[CP_Pcode],0)-1,0,1,1)</f>
        <v>0</v>
      </c>
      <c r="G105" s="116">
        <f>SUMIF('NFI Distributions'!AS$38:AS$1048576,Table10[[#This Row],[Pcode]],'NFI Distributions'!AK$38:AK$1048576)</f>
        <v>0</v>
      </c>
      <c r="H105" s="116">
        <f>SUMIF('NFI Distributions'!AS$38:AS$1048576,Table10[[#This Row],[Pcode]],'NFI Distributions'!AL$38:AL$1048576)</f>
        <v>0</v>
      </c>
      <c r="I105" s="116">
        <f>SUMIF('NFI Distributions'!AS$38:AS$1048576,Table10[[#This Row],[Pcode]],'NFI Distributions'!AM$38:AM$1048576)</f>
        <v>0</v>
      </c>
      <c r="J105" s="116">
        <f ca="1">MAX(Table10[[#This Row],[HH]]*VLOOKUP("Winter Clothes Adult",NFI,6)-Table10[[#This Row],[Winter Clothes Adult ]],0)</f>
        <v>0</v>
      </c>
      <c r="K105" s="116">
        <f ca="1">MAX(Table10[[#This Row],[HH]]*VLOOKUP("Winter Clothes Children ",NFI,6)-Table10[[#This Row],[Winter Clothes Children ]],0)</f>
        <v>0</v>
      </c>
      <c r="L105" s="116">
        <f ca="1">MAX(Table10[[#This Row],[HH]]*VLOOKUP("Winter Items Other ",NFI,6)-Table10[[#This Row],[Winter Items Other ]],0)</f>
        <v>0</v>
      </c>
      <c r="M105" s="129" t="str">
        <f>IF(OR(Table10[[#This Row],[Winter Clothes Adult ]]&lt;&gt;0,Table10[[#This Row],[Winter Clothes Children ]]&lt;&gt;0,Table10[[#This Row],[Winter Items Other ]]&lt;&gt;0),"No","")</f>
        <v/>
      </c>
      <c r="N105" s="130">
        <f>COUNTIF(A:A,Table10[[#This Row],[Pcode]])-1</f>
        <v>0</v>
      </c>
    </row>
    <row r="106" spans="1:14" x14ac:dyDescent="0.25">
      <c r="A106" s="110"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16">
        <f ca="1">OFFSET(CampList[HH],MATCH(Table10[[#This Row],[Pcode]],CampList[CP_Pcode],0)-1,0,1,1)</f>
        <v>109</v>
      </c>
      <c r="F106" s="116">
        <f ca="1">OFFSET(CampList[Total],MATCH(Table10[[#This Row],[Pcode]],CampList[CP_Pcode],0)-1,0,1,1)</f>
        <v>579</v>
      </c>
      <c r="G106" s="116">
        <f>SUMIF('NFI Distributions'!AS$38:AS$1048576,Table10[[#This Row],[Pcode]],'NFI Distributions'!AK$38:AK$1048576)</f>
        <v>0</v>
      </c>
      <c r="H106" s="116">
        <f>SUMIF('NFI Distributions'!AS$38:AS$1048576,Table10[[#This Row],[Pcode]],'NFI Distributions'!AL$38:AL$1048576)</f>
        <v>0</v>
      </c>
      <c r="I106" s="116">
        <f>SUMIF('NFI Distributions'!AS$38:AS$1048576,Table10[[#This Row],[Pcode]],'NFI Distributions'!AM$38:AM$1048576)</f>
        <v>0</v>
      </c>
      <c r="J106" s="116">
        <f ca="1">MAX(Table10[[#This Row],[HH]]*VLOOKUP("Winter Clothes Adult",NFI,6)-Table10[[#This Row],[Winter Clothes Adult ]],0)</f>
        <v>218</v>
      </c>
      <c r="K106" s="116">
        <f ca="1">MAX(Table10[[#This Row],[HH]]*VLOOKUP("Winter Clothes Children ",NFI,6)-Table10[[#This Row],[Winter Clothes Children ]],0)</f>
        <v>109</v>
      </c>
      <c r="L106" s="116">
        <f ca="1">MAX(Table10[[#This Row],[HH]]*VLOOKUP("Winter Items Other ",NFI,6)-Table10[[#This Row],[Winter Items Other ]],0)</f>
        <v>109</v>
      </c>
      <c r="M106" s="129" t="str">
        <f>IF(OR(Table10[[#This Row],[Winter Clothes Adult ]]&lt;&gt;0,Table10[[#This Row],[Winter Clothes Children ]]&lt;&gt;0,Table10[[#This Row],[Winter Items Other ]]&lt;&gt;0),"No","")</f>
        <v/>
      </c>
      <c r="N106" s="130">
        <f>COUNTIF(A:A,Table10[[#This Row],[Pcode]])-1</f>
        <v>0</v>
      </c>
    </row>
    <row r="107" spans="1:14" x14ac:dyDescent="0.25">
      <c r="A107" s="110"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16">
        <f ca="1">OFFSET(CampList[HH],MATCH(Table10[[#This Row],[Pcode]],CampList[CP_Pcode],0)-1,0,1,1)</f>
        <v>441</v>
      </c>
      <c r="F107" s="116">
        <f ca="1">OFFSET(CampList[Total],MATCH(Table10[[#This Row],[Pcode]],CampList[CP_Pcode],0)-1,0,1,1)</f>
        <v>2241</v>
      </c>
      <c r="G107" s="116">
        <f>SUMIF('NFI Distributions'!AS$38:AS$1048576,Table10[[#This Row],[Pcode]],'NFI Distributions'!AK$38:AK$1048576)</f>
        <v>0</v>
      </c>
      <c r="H107" s="116">
        <f>SUMIF('NFI Distributions'!AS$38:AS$1048576,Table10[[#This Row],[Pcode]],'NFI Distributions'!AL$38:AL$1048576)</f>
        <v>0</v>
      </c>
      <c r="I107" s="116">
        <f>SUMIF('NFI Distributions'!AS$38:AS$1048576,Table10[[#This Row],[Pcode]],'NFI Distributions'!AM$38:AM$1048576)</f>
        <v>0</v>
      </c>
      <c r="J107" s="116">
        <f ca="1">MAX(Table10[[#This Row],[HH]]*VLOOKUP("Winter Clothes Adult",NFI,6)-Table10[[#This Row],[Winter Clothes Adult ]],0)</f>
        <v>882</v>
      </c>
      <c r="K107" s="116">
        <f ca="1">MAX(Table10[[#This Row],[HH]]*VLOOKUP("Winter Clothes Children ",NFI,6)-Table10[[#This Row],[Winter Clothes Children ]],0)</f>
        <v>441</v>
      </c>
      <c r="L107" s="116">
        <f ca="1">MAX(Table10[[#This Row],[HH]]*VLOOKUP("Winter Items Other ",NFI,6)-Table10[[#This Row],[Winter Items Other ]],0)</f>
        <v>441</v>
      </c>
      <c r="M107" s="129" t="str">
        <f>IF(OR(Table10[[#This Row],[Winter Clothes Adult ]]&lt;&gt;0,Table10[[#This Row],[Winter Clothes Children ]]&lt;&gt;0,Table10[[#This Row],[Winter Items Other ]]&lt;&gt;0),"No","")</f>
        <v/>
      </c>
      <c r="N107" s="130">
        <f>COUNTIF(A:A,Table10[[#This Row],[Pcode]])-1</f>
        <v>0</v>
      </c>
    </row>
    <row r="108" spans="1:14" x14ac:dyDescent="0.25">
      <c r="A108" s="110" t="s">
        <v>916</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16">
        <f ca="1">OFFSET(CampList[HH],MATCH(Table10[[#This Row],[Pcode]],CampList[CP_Pcode],0)-1,0,1,1)</f>
        <v>143</v>
      </c>
      <c r="F108" s="116">
        <f ca="1">OFFSET(CampList[Total],MATCH(Table10[[#This Row],[Pcode]],CampList[CP_Pcode],0)-1,0,1,1)</f>
        <v>638</v>
      </c>
      <c r="G108" s="116">
        <f>SUMIF('NFI Distributions'!AS$38:AS$1048576,Table10[[#This Row],[Pcode]],'NFI Distributions'!AK$38:AK$1048576)</f>
        <v>0</v>
      </c>
      <c r="H108" s="116">
        <f>SUMIF('NFI Distributions'!AS$38:AS$1048576,Table10[[#This Row],[Pcode]],'NFI Distributions'!AL$38:AL$1048576)</f>
        <v>0</v>
      </c>
      <c r="I108" s="116">
        <f>SUMIF('NFI Distributions'!AS$38:AS$1048576,Table10[[#This Row],[Pcode]],'NFI Distributions'!AM$38:AM$1048576)</f>
        <v>0</v>
      </c>
      <c r="J108" s="116">
        <f ca="1">MAX(Table10[[#This Row],[HH]]*VLOOKUP("Winter Clothes Adult",NFI,6)-Table10[[#This Row],[Winter Clothes Adult ]],0)</f>
        <v>286</v>
      </c>
      <c r="K108" s="116">
        <f ca="1">MAX(Table10[[#This Row],[HH]]*VLOOKUP("Winter Clothes Children ",NFI,6)-Table10[[#This Row],[Winter Clothes Children ]],0)</f>
        <v>143</v>
      </c>
      <c r="L108" s="116">
        <f ca="1">MAX(Table10[[#This Row],[HH]]*VLOOKUP("Winter Items Other ",NFI,6)-Table10[[#This Row],[Winter Items Other ]],0)</f>
        <v>143</v>
      </c>
      <c r="M108" s="129" t="str">
        <f>IF(OR(Table10[[#This Row],[Winter Clothes Adult ]]&lt;&gt;0,Table10[[#This Row],[Winter Clothes Children ]]&lt;&gt;0,Table10[[#This Row],[Winter Items Other ]]&lt;&gt;0),"No","")</f>
        <v/>
      </c>
      <c r="N108" s="130">
        <f>COUNTIF(A:A,Table10[[#This Row],[Pcode]])-1</f>
        <v>0</v>
      </c>
    </row>
    <row r="109" spans="1:14" x14ac:dyDescent="0.25">
      <c r="A109" s="110"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16">
        <f ca="1">OFFSET(CampList[HH],MATCH(Table10[[#This Row],[Pcode]],CampList[CP_Pcode],0)-1,0,1,1)</f>
        <v>175</v>
      </c>
      <c r="F109" s="116">
        <f ca="1">OFFSET(CampList[Total],MATCH(Table10[[#This Row],[Pcode]],CampList[CP_Pcode],0)-1,0,1,1)</f>
        <v>834</v>
      </c>
      <c r="G109" s="116">
        <f>SUMIF('NFI Distributions'!AS$38:AS$1048576,Table10[[#This Row],[Pcode]],'NFI Distributions'!AK$38:AK$1048576)</f>
        <v>0</v>
      </c>
      <c r="H109" s="116">
        <f>SUMIF('NFI Distributions'!AS$38:AS$1048576,Table10[[#This Row],[Pcode]],'NFI Distributions'!AL$38:AL$1048576)</f>
        <v>0</v>
      </c>
      <c r="I109" s="116">
        <f>SUMIF('NFI Distributions'!AS$38:AS$1048576,Table10[[#This Row],[Pcode]],'NFI Distributions'!AM$38:AM$1048576)</f>
        <v>0</v>
      </c>
      <c r="J109" s="116">
        <f ca="1">MAX(Table10[[#This Row],[HH]]*VLOOKUP("Winter Clothes Adult",NFI,6)-Table10[[#This Row],[Winter Clothes Adult ]],0)</f>
        <v>350</v>
      </c>
      <c r="K109" s="116">
        <f ca="1">MAX(Table10[[#This Row],[HH]]*VLOOKUP("Winter Clothes Children ",NFI,6)-Table10[[#This Row],[Winter Clothes Children ]],0)</f>
        <v>175</v>
      </c>
      <c r="L109" s="116">
        <f ca="1">MAX(Table10[[#This Row],[HH]]*VLOOKUP("Winter Items Other ",NFI,6)-Table10[[#This Row],[Winter Items Other ]],0)</f>
        <v>175</v>
      </c>
      <c r="M109" s="129" t="str">
        <f>IF(OR(Table10[[#This Row],[Winter Clothes Adult ]]&lt;&gt;0,Table10[[#This Row],[Winter Clothes Children ]]&lt;&gt;0,Table10[[#This Row],[Winter Items Other ]]&lt;&gt;0),"No","")</f>
        <v/>
      </c>
      <c r="N109" s="130">
        <f>COUNTIF(A:A,Table10[[#This Row],[Pcode]])-1</f>
        <v>0</v>
      </c>
    </row>
    <row r="110" spans="1:14" x14ac:dyDescent="0.25">
      <c r="A110" s="110"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16">
        <f ca="1">OFFSET(CampList[HH],MATCH(Table10[[#This Row],[Pcode]],CampList[CP_Pcode],0)-1,0,1,1)</f>
        <v>0</v>
      </c>
      <c r="F110" s="116">
        <f ca="1">OFFSET(CampList[Total],MATCH(Table10[[#This Row],[Pcode]],CampList[CP_Pcode],0)-1,0,1,1)</f>
        <v>0</v>
      </c>
      <c r="G110" s="116">
        <f>SUMIF('NFI Distributions'!AS$38:AS$1048576,Table10[[#This Row],[Pcode]],'NFI Distributions'!AK$38:AK$1048576)</f>
        <v>0</v>
      </c>
      <c r="H110" s="116">
        <f>SUMIF('NFI Distributions'!AS$38:AS$1048576,Table10[[#This Row],[Pcode]],'NFI Distributions'!AL$38:AL$1048576)</f>
        <v>0</v>
      </c>
      <c r="I110" s="116">
        <f>SUMIF('NFI Distributions'!AS$38:AS$1048576,Table10[[#This Row],[Pcode]],'NFI Distributions'!AM$38:AM$1048576)</f>
        <v>0</v>
      </c>
      <c r="J110" s="116">
        <f ca="1">MAX(Table10[[#This Row],[HH]]*VLOOKUP("Winter Clothes Adult",NFI,6)-Table10[[#This Row],[Winter Clothes Adult ]],0)</f>
        <v>0</v>
      </c>
      <c r="K110" s="116">
        <f ca="1">MAX(Table10[[#This Row],[HH]]*VLOOKUP("Winter Clothes Children ",NFI,6)-Table10[[#This Row],[Winter Clothes Children ]],0)</f>
        <v>0</v>
      </c>
      <c r="L110" s="116">
        <f ca="1">MAX(Table10[[#This Row],[HH]]*VLOOKUP("Winter Items Other ",NFI,6)-Table10[[#This Row],[Winter Items Other ]],0)</f>
        <v>0</v>
      </c>
      <c r="M110" s="129" t="str">
        <f>IF(OR(Table10[[#This Row],[Winter Clothes Adult ]]&lt;&gt;0,Table10[[#This Row],[Winter Clothes Children ]]&lt;&gt;0,Table10[[#This Row],[Winter Items Other ]]&lt;&gt;0),"No","")</f>
        <v/>
      </c>
      <c r="N110" s="130">
        <f>COUNTIF(A:A,Table10[[#This Row],[Pcode]])-1</f>
        <v>0</v>
      </c>
    </row>
    <row r="111" spans="1:14" x14ac:dyDescent="0.25">
      <c r="A111" s="110"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16">
        <f ca="1">OFFSET(CampList[HH],MATCH(Table10[[#This Row],[Pcode]],CampList[CP_Pcode],0)-1,0,1,1)</f>
        <v>16</v>
      </c>
      <c r="F111" s="116">
        <f ca="1">OFFSET(CampList[Total],MATCH(Table10[[#This Row],[Pcode]],CampList[CP_Pcode],0)-1,0,1,1)</f>
        <v>79</v>
      </c>
      <c r="G111" s="116">
        <f>SUMIF('NFI Distributions'!AS$38:AS$1048576,Table10[[#This Row],[Pcode]],'NFI Distributions'!AK$38:AK$1048576)</f>
        <v>0</v>
      </c>
      <c r="H111" s="116">
        <f>SUMIF('NFI Distributions'!AS$38:AS$1048576,Table10[[#This Row],[Pcode]],'NFI Distributions'!AL$38:AL$1048576)</f>
        <v>0</v>
      </c>
      <c r="I111" s="116">
        <f>SUMIF('NFI Distributions'!AS$38:AS$1048576,Table10[[#This Row],[Pcode]],'NFI Distributions'!AM$38:AM$1048576)</f>
        <v>0</v>
      </c>
      <c r="J111" s="116">
        <f ca="1">MAX(Table10[[#This Row],[HH]]*VLOOKUP("Winter Clothes Adult",NFI,6)-Table10[[#This Row],[Winter Clothes Adult ]],0)</f>
        <v>32</v>
      </c>
      <c r="K111" s="116">
        <f ca="1">MAX(Table10[[#This Row],[HH]]*VLOOKUP("Winter Clothes Children ",NFI,6)-Table10[[#This Row],[Winter Clothes Children ]],0)</f>
        <v>16</v>
      </c>
      <c r="L111" s="116">
        <f ca="1">MAX(Table10[[#This Row],[HH]]*VLOOKUP("Winter Items Other ",NFI,6)-Table10[[#This Row],[Winter Items Other ]],0)</f>
        <v>16</v>
      </c>
      <c r="M111" s="129" t="str">
        <f>IF(OR(Table10[[#This Row],[Winter Clothes Adult ]]&lt;&gt;0,Table10[[#This Row],[Winter Clothes Children ]]&lt;&gt;0,Table10[[#This Row],[Winter Items Other ]]&lt;&gt;0),"No","")</f>
        <v/>
      </c>
      <c r="N111" s="130">
        <f>COUNTIF(A:A,Table10[[#This Row],[Pcode]])-1</f>
        <v>0</v>
      </c>
    </row>
    <row r="112" spans="1:14" x14ac:dyDescent="0.25">
      <c r="A112" s="110"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16">
        <f ca="1">OFFSET(CampList[HH],MATCH(Table10[[#This Row],[Pcode]],CampList[CP_Pcode],0)-1,0,1,1)</f>
        <v>187</v>
      </c>
      <c r="F112" s="116">
        <f ca="1">OFFSET(CampList[Total],MATCH(Table10[[#This Row],[Pcode]],CampList[CP_Pcode],0)-1,0,1,1)</f>
        <v>838</v>
      </c>
      <c r="G112" s="116">
        <f>SUMIF('NFI Distributions'!AS$38:AS$1048576,Table10[[#This Row],[Pcode]],'NFI Distributions'!AK$38:AK$1048576)</f>
        <v>0</v>
      </c>
      <c r="H112" s="116">
        <f>SUMIF('NFI Distributions'!AS$38:AS$1048576,Table10[[#This Row],[Pcode]],'NFI Distributions'!AL$38:AL$1048576)</f>
        <v>0</v>
      </c>
      <c r="I112" s="116">
        <f>SUMIF('NFI Distributions'!AS$38:AS$1048576,Table10[[#This Row],[Pcode]],'NFI Distributions'!AM$38:AM$1048576)</f>
        <v>0</v>
      </c>
      <c r="J112" s="116">
        <f ca="1">MAX(Table10[[#This Row],[HH]]*VLOOKUP("Winter Clothes Adult",NFI,6)-Table10[[#This Row],[Winter Clothes Adult ]],0)</f>
        <v>374</v>
      </c>
      <c r="K112" s="116">
        <f ca="1">MAX(Table10[[#This Row],[HH]]*VLOOKUP("Winter Clothes Children ",NFI,6)-Table10[[#This Row],[Winter Clothes Children ]],0)</f>
        <v>187</v>
      </c>
      <c r="L112" s="116">
        <f ca="1">MAX(Table10[[#This Row],[HH]]*VLOOKUP("Winter Items Other ",NFI,6)-Table10[[#This Row],[Winter Items Other ]],0)</f>
        <v>187</v>
      </c>
      <c r="M112" s="129" t="str">
        <f>IF(OR(Table10[[#This Row],[Winter Clothes Adult ]]&lt;&gt;0,Table10[[#This Row],[Winter Clothes Children ]]&lt;&gt;0,Table10[[#This Row],[Winter Items Other ]]&lt;&gt;0),"No","")</f>
        <v/>
      </c>
      <c r="N112" s="130">
        <f>COUNTIF(A:A,Table10[[#This Row],[Pcode]])-1</f>
        <v>0</v>
      </c>
    </row>
    <row r="113" spans="1:14" x14ac:dyDescent="0.25">
      <c r="A113" s="110"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16">
        <f ca="1">OFFSET(CampList[HH],MATCH(Table10[[#This Row],[Pcode]],CampList[CP_Pcode],0)-1,0,1,1)</f>
        <v>24</v>
      </c>
      <c r="F113" s="116">
        <f ca="1">OFFSET(CampList[Total],MATCH(Table10[[#This Row],[Pcode]],CampList[CP_Pcode],0)-1,0,1,1)</f>
        <v>97</v>
      </c>
      <c r="G113" s="116">
        <f>SUMIF('NFI Distributions'!AS$38:AS$1048576,Table10[[#This Row],[Pcode]],'NFI Distributions'!AK$38:AK$1048576)</f>
        <v>0</v>
      </c>
      <c r="H113" s="116">
        <f>SUMIF('NFI Distributions'!AS$38:AS$1048576,Table10[[#This Row],[Pcode]],'NFI Distributions'!AL$38:AL$1048576)</f>
        <v>0</v>
      </c>
      <c r="I113" s="116">
        <f>SUMIF('NFI Distributions'!AS$38:AS$1048576,Table10[[#This Row],[Pcode]],'NFI Distributions'!AM$38:AM$1048576)</f>
        <v>0</v>
      </c>
      <c r="J113" s="116">
        <f ca="1">MAX(Table10[[#This Row],[HH]]*VLOOKUP("Winter Clothes Adult",NFI,6)-Table10[[#This Row],[Winter Clothes Adult ]],0)</f>
        <v>48</v>
      </c>
      <c r="K113" s="116">
        <f ca="1">MAX(Table10[[#This Row],[HH]]*VLOOKUP("Winter Clothes Children ",NFI,6)-Table10[[#This Row],[Winter Clothes Children ]],0)</f>
        <v>24</v>
      </c>
      <c r="L113" s="116">
        <f ca="1">MAX(Table10[[#This Row],[HH]]*VLOOKUP("Winter Items Other ",NFI,6)-Table10[[#This Row],[Winter Items Other ]],0)</f>
        <v>24</v>
      </c>
      <c r="M113" s="129" t="str">
        <f>IF(OR(Table10[[#This Row],[Winter Clothes Adult ]]&lt;&gt;0,Table10[[#This Row],[Winter Clothes Children ]]&lt;&gt;0,Table10[[#This Row],[Winter Items Other ]]&lt;&gt;0),"No","")</f>
        <v/>
      </c>
      <c r="N113" s="130">
        <f>COUNTIF(A:A,Table10[[#This Row],[Pcode]])-1</f>
        <v>0</v>
      </c>
    </row>
    <row r="114" spans="1:14" x14ac:dyDescent="0.25">
      <c r="A114" s="110"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16">
        <f ca="1">OFFSET(CampList[HH],MATCH(Table10[[#This Row],[Pcode]],CampList[CP_Pcode],0)-1,0,1,1)</f>
        <v>14</v>
      </c>
      <c r="F114" s="116">
        <f ca="1">OFFSET(CampList[Total],MATCH(Table10[[#This Row],[Pcode]],CampList[CP_Pcode],0)-1,0,1,1)</f>
        <v>75</v>
      </c>
      <c r="G114" s="116">
        <f>SUMIF('NFI Distributions'!AS$38:AS$1048576,Table10[[#This Row],[Pcode]],'NFI Distributions'!AK$38:AK$1048576)</f>
        <v>0</v>
      </c>
      <c r="H114" s="116">
        <f>SUMIF('NFI Distributions'!AS$38:AS$1048576,Table10[[#This Row],[Pcode]],'NFI Distributions'!AL$38:AL$1048576)</f>
        <v>0</v>
      </c>
      <c r="I114" s="116">
        <f>SUMIF('NFI Distributions'!AS$38:AS$1048576,Table10[[#This Row],[Pcode]],'NFI Distributions'!AM$38:AM$1048576)</f>
        <v>0</v>
      </c>
      <c r="J114" s="116">
        <f ca="1">MAX(Table10[[#This Row],[HH]]*VLOOKUP("Winter Clothes Adult",NFI,6)-Table10[[#This Row],[Winter Clothes Adult ]],0)</f>
        <v>28</v>
      </c>
      <c r="K114" s="116">
        <f ca="1">MAX(Table10[[#This Row],[HH]]*VLOOKUP("Winter Clothes Children ",NFI,6)-Table10[[#This Row],[Winter Clothes Children ]],0)</f>
        <v>14</v>
      </c>
      <c r="L114" s="116">
        <f ca="1">MAX(Table10[[#This Row],[HH]]*VLOOKUP("Winter Items Other ",NFI,6)-Table10[[#This Row],[Winter Items Other ]],0)</f>
        <v>14</v>
      </c>
      <c r="M114" s="129" t="str">
        <f>IF(OR(Table10[[#This Row],[Winter Clothes Adult ]]&lt;&gt;0,Table10[[#This Row],[Winter Clothes Children ]]&lt;&gt;0,Table10[[#This Row],[Winter Items Other ]]&lt;&gt;0),"No","")</f>
        <v/>
      </c>
      <c r="N114" s="130">
        <f>COUNTIF(A:A,Table10[[#This Row],[Pcode]])-1</f>
        <v>0</v>
      </c>
    </row>
    <row r="115" spans="1:14" x14ac:dyDescent="0.25">
      <c r="A115" s="110"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16">
        <f ca="1">OFFSET(CampList[HH],MATCH(Table10[[#This Row],[Pcode]],CampList[CP_Pcode],0)-1,0,1,1)</f>
        <v>8</v>
      </c>
      <c r="F115" s="116">
        <f ca="1">OFFSET(CampList[Total],MATCH(Table10[[#This Row],[Pcode]],CampList[CP_Pcode],0)-1,0,1,1)</f>
        <v>15</v>
      </c>
      <c r="G115" s="116">
        <f>SUMIF('NFI Distributions'!AS$38:AS$1048576,Table10[[#This Row],[Pcode]],'NFI Distributions'!AK$38:AK$1048576)</f>
        <v>0</v>
      </c>
      <c r="H115" s="116">
        <f>SUMIF('NFI Distributions'!AS$38:AS$1048576,Table10[[#This Row],[Pcode]],'NFI Distributions'!AL$38:AL$1048576)</f>
        <v>0</v>
      </c>
      <c r="I115" s="116">
        <f>SUMIF('NFI Distributions'!AS$38:AS$1048576,Table10[[#This Row],[Pcode]],'NFI Distributions'!AM$38:AM$1048576)</f>
        <v>0</v>
      </c>
      <c r="J115" s="116">
        <f ca="1">MAX(Table10[[#This Row],[HH]]*VLOOKUP("Winter Clothes Adult",NFI,6)-Table10[[#This Row],[Winter Clothes Adult ]],0)</f>
        <v>16</v>
      </c>
      <c r="K115" s="116">
        <f ca="1">MAX(Table10[[#This Row],[HH]]*VLOOKUP("Winter Clothes Children ",NFI,6)-Table10[[#This Row],[Winter Clothes Children ]],0)</f>
        <v>8</v>
      </c>
      <c r="L115" s="116">
        <f ca="1">MAX(Table10[[#This Row],[HH]]*VLOOKUP("Winter Items Other ",NFI,6)-Table10[[#This Row],[Winter Items Other ]],0)</f>
        <v>8</v>
      </c>
      <c r="M115" s="129" t="str">
        <f>IF(OR(Table10[[#This Row],[Winter Clothes Adult ]]&lt;&gt;0,Table10[[#This Row],[Winter Clothes Children ]]&lt;&gt;0,Table10[[#This Row],[Winter Items Other ]]&lt;&gt;0),"No","")</f>
        <v/>
      </c>
      <c r="N115" s="130">
        <f>COUNTIF(A:A,Table10[[#This Row],[Pcode]])-1</f>
        <v>0</v>
      </c>
    </row>
    <row r="116" spans="1:14" x14ac:dyDescent="0.25">
      <c r="A116" s="110"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16">
        <f ca="1">OFFSET(CampList[HH],MATCH(Table10[[#This Row],[Pcode]],CampList[CP_Pcode],0)-1,0,1,1)</f>
        <v>387</v>
      </c>
      <c r="F116" s="116">
        <f ca="1">OFFSET(CampList[Total],MATCH(Table10[[#This Row],[Pcode]],CampList[CP_Pcode],0)-1,0,1,1)</f>
        <v>1874</v>
      </c>
      <c r="G116" s="116">
        <f>SUMIF('NFI Distributions'!AS$38:AS$1048576,Table10[[#This Row],[Pcode]],'NFI Distributions'!AK$38:AK$1048576)</f>
        <v>0</v>
      </c>
      <c r="H116" s="116">
        <f>SUMIF('NFI Distributions'!AS$38:AS$1048576,Table10[[#This Row],[Pcode]],'NFI Distributions'!AL$38:AL$1048576)</f>
        <v>0</v>
      </c>
      <c r="I116" s="116">
        <f>SUMIF('NFI Distributions'!AS$38:AS$1048576,Table10[[#This Row],[Pcode]],'NFI Distributions'!AM$38:AM$1048576)</f>
        <v>0</v>
      </c>
      <c r="J116" s="116">
        <f ca="1">MAX(Table10[[#This Row],[HH]]*VLOOKUP("Winter Clothes Adult",NFI,6)-Table10[[#This Row],[Winter Clothes Adult ]],0)</f>
        <v>774</v>
      </c>
      <c r="K116" s="116">
        <f ca="1">MAX(Table10[[#This Row],[HH]]*VLOOKUP("Winter Clothes Children ",NFI,6)-Table10[[#This Row],[Winter Clothes Children ]],0)</f>
        <v>387</v>
      </c>
      <c r="L116" s="116">
        <f ca="1">MAX(Table10[[#This Row],[HH]]*VLOOKUP("Winter Items Other ",NFI,6)-Table10[[#This Row],[Winter Items Other ]],0)</f>
        <v>387</v>
      </c>
      <c r="M116" s="129" t="str">
        <f>IF(OR(Table10[[#This Row],[Winter Clothes Adult ]]&lt;&gt;0,Table10[[#This Row],[Winter Clothes Children ]]&lt;&gt;0,Table10[[#This Row],[Winter Items Other ]]&lt;&gt;0),"No","")</f>
        <v/>
      </c>
      <c r="N116" s="130">
        <f>COUNTIF(A:A,Table10[[#This Row],[Pcode]])-1</f>
        <v>0</v>
      </c>
    </row>
    <row r="117" spans="1:14" x14ac:dyDescent="0.25">
      <c r="A117" s="110"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16">
        <f ca="1">OFFSET(CampList[HH],MATCH(Table10[[#This Row],[Pcode]],CampList[CP_Pcode],0)-1,0,1,1)</f>
        <v>0</v>
      </c>
      <c r="F117" s="116">
        <f ca="1">OFFSET(CampList[Total],MATCH(Table10[[#This Row],[Pcode]],CampList[CP_Pcode],0)-1,0,1,1)</f>
        <v>0</v>
      </c>
      <c r="G117" s="116">
        <f>SUMIF('NFI Distributions'!AS$38:AS$1048576,Table10[[#This Row],[Pcode]],'NFI Distributions'!AK$38:AK$1048576)</f>
        <v>0</v>
      </c>
      <c r="H117" s="116">
        <f>SUMIF('NFI Distributions'!AS$38:AS$1048576,Table10[[#This Row],[Pcode]],'NFI Distributions'!AL$38:AL$1048576)</f>
        <v>0</v>
      </c>
      <c r="I117" s="116">
        <f>SUMIF('NFI Distributions'!AS$38:AS$1048576,Table10[[#This Row],[Pcode]],'NFI Distributions'!AM$38:AM$1048576)</f>
        <v>0</v>
      </c>
      <c r="J117" s="116">
        <f ca="1">MAX(Table10[[#This Row],[HH]]*VLOOKUP("Winter Clothes Adult",NFI,6)-Table10[[#This Row],[Winter Clothes Adult ]],0)</f>
        <v>0</v>
      </c>
      <c r="K117" s="116">
        <f ca="1">MAX(Table10[[#This Row],[HH]]*VLOOKUP("Winter Clothes Children ",NFI,6)-Table10[[#This Row],[Winter Clothes Children ]],0)</f>
        <v>0</v>
      </c>
      <c r="L117" s="116">
        <f ca="1">MAX(Table10[[#This Row],[HH]]*VLOOKUP("Winter Items Other ",NFI,6)-Table10[[#This Row],[Winter Items Other ]],0)</f>
        <v>0</v>
      </c>
      <c r="M117" s="129" t="str">
        <f>IF(OR(Table10[[#This Row],[Winter Clothes Adult ]]&lt;&gt;0,Table10[[#This Row],[Winter Clothes Children ]]&lt;&gt;0,Table10[[#This Row],[Winter Items Other ]]&lt;&gt;0),"No","")</f>
        <v/>
      </c>
      <c r="N117" s="130">
        <f>COUNTIF(A:A,Table10[[#This Row],[Pcode]])-1</f>
        <v>0</v>
      </c>
    </row>
    <row r="118" spans="1:14" x14ac:dyDescent="0.25">
      <c r="A118" s="110" t="s">
        <v>908</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16">
        <f ca="1">OFFSET(CampList[HH],MATCH(Table10[[#This Row],[Pcode]],CampList[CP_Pcode],0)-1,0,1,1)</f>
        <v>44</v>
      </c>
      <c r="F118" s="116">
        <f ca="1">OFFSET(CampList[Total],MATCH(Table10[[#This Row],[Pcode]],CampList[CP_Pcode],0)-1,0,1,1)</f>
        <v>190</v>
      </c>
      <c r="G118" s="116">
        <f>SUMIF('NFI Distributions'!AS$38:AS$1048576,Table10[[#This Row],[Pcode]],'NFI Distributions'!AK$38:AK$1048576)</f>
        <v>0</v>
      </c>
      <c r="H118" s="116">
        <f>SUMIF('NFI Distributions'!AS$38:AS$1048576,Table10[[#This Row],[Pcode]],'NFI Distributions'!AL$38:AL$1048576)</f>
        <v>0</v>
      </c>
      <c r="I118" s="116">
        <f>SUMIF('NFI Distributions'!AS$38:AS$1048576,Table10[[#This Row],[Pcode]],'NFI Distributions'!AM$38:AM$1048576)</f>
        <v>0</v>
      </c>
      <c r="J118" s="116">
        <f ca="1">MAX(Table10[[#This Row],[HH]]*VLOOKUP("Winter Clothes Adult",NFI,6)-Table10[[#This Row],[Winter Clothes Adult ]],0)</f>
        <v>88</v>
      </c>
      <c r="K118" s="116">
        <f ca="1">MAX(Table10[[#This Row],[HH]]*VLOOKUP("Winter Clothes Children ",NFI,6)-Table10[[#This Row],[Winter Clothes Children ]],0)</f>
        <v>44</v>
      </c>
      <c r="L118" s="116">
        <f ca="1">MAX(Table10[[#This Row],[HH]]*VLOOKUP("Winter Items Other ",NFI,6)-Table10[[#This Row],[Winter Items Other ]],0)</f>
        <v>44</v>
      </c>
      <c r="M118" s="129" t="str">
        <f>IF(OR(Table10[[#This Row],[Winter Clothes Adult ]]&lt;&gt;0,Table10[[#This Row],[Winter Clothes Children ]]&lt;&gt;0,Table10[[#This Row],[Winter Items Other ]]&lt;&gt;0),"No","")</f>
        <v/>
      </c>
      <c r="N118" s="130">
        <f>COUNTIF(A:A,Table10[[#This Row],[Pcode]])-1</f>
        <v>0</v>
      </c>
    </row>
    <row r="119" spans="1:14" x14ac:dyDescent="0.25">
      <c r="A119" s="110" t="s">
        <v>918</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16">
        <f ca="1">OFFSET(CampList[HH],MATCH(Table10[[#This Row],[Pcode]],CampList[CP_Pcode],0)-1,0,1,1)</f>
        <v>22</v>
      </c>
      <c r="F119" s="116">
        <f ca="1">OFFSET(CampList[Total],MATCH(Table10[[#This Row],[Pcode]],CampList[CP_Pcode],0)-1,0,1,1)</f>
        <v>106</v>
      </c>
      <c r="G119" s="116">
        <f>SUMIF('NFI Distributions'!AS$38:AS$1048576,Table10[[#This Row],[Pcode]],'NFI Distributions'!AK$38:AK$1048576)</f>
        <v>0</v>
      </c>
      <c r="H119" s="116">
        <f>SUMIF('NFI Distributions'!AS$38:AS$1048576,Table10[[#This Row],[Pcode]],'NFI Distributions'!AL$38:AL$1048576)</f>
        <v>0</v>
      </c>
      <c r="I119" s="116">
        <f>SUMIF('NFI Distributions'!AS$38:AS$1048576,Table10[[#This Row],[Pcode]],'NFI Distributions'!AM$38:AM$1048576)</f>
        <v>0</v>
      </c>
      <c r="J119" s="116">
        <f ca="1">MAX(Table10[[#This Row],[HH]]*VLOOKUP("Winter Clothes Adult",NFI,6)-Table10[[#This Row],[Winter Clothes Adult ]],0)</f>
        <v>44</v>
      </c>
      <c r="K119" s="116">
        <f ca="1">MAX(Table10[[#This Row],[HH]]*VLOOKUP("Winter Clothes Children ",NFI,6)-Table10[[#This Row],[Winter Clothes Children ]],0)</f>
        <v>22</v>
      </c>
      <c r="L119" s="116">
        <f ca="1">MAX(Table10[[#This Row],[HH]]*VLOOKUP("Winter Items Other ",NFI,6)-Table10[[#This Row],[Winter Items Other ]],0)</f>
        <v>22</v>
      </c>
      <c r="M119" s="129" t="str">
        <f>IF(OR(Table10[[#This Row],[Winter Clothes Adult ]]&lt;&gt;0,Table10[[#This Row],[Winter Clothes Children ]]&lt;&gt;0,Table10[[#This Row],[Winter Items Other ]]&lt;&gt;0),"No","")</f>
        <v/>
      </c>
      <c r="N119" s="130">
        <f>COUNTIF(A:A,Table10[[#This Row],[Pcode]])-1</f>
        <v>0</v>
      </c>
    </row>
    <row r="120" spans="1:14" x14ac:dyDescent="0.25">
      <c r="A120" s="110"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16">
        <f ca="1">OFFSET(CampList[HH],MATCH(Table10[[#This Row],[Pcode]],CampList[CP_Pcode],0)-1,0,1,1)</f>
        <v>13</v>
      </c>
      <c r="F120" s="116">
        <f ca="1">OFFSET(CampList[Total],MATCH(Table10[[#This Row],[Pcode]],CampList[CP_Pcode],0)-1,0,1,1)</f>
        <v>58</v>
      </c>
      <c r="G120" s="116">
        <f>SUMIF('NFI Distributions'!AS$38:AS$1048576,Table10[[#This Row],[Pcode]],'NFI Distributions'!AK$38:AK$1048576)</f>
        <v>0</v>
      </c>
      <c r="H120" s="116">
        <f>SUMIF('NFI Distributions'!AS$38:AS$1048576,Table10[[#This Row],[Pcode]],'NFI Distributions'!AL$38:AL$1048576)</f>
        <v>0</v>
      </c>
      <c r="I120" s="116">
        <f>SUMIF('NFI Distributions'!AS$38:AS$1048576,Table10[[#This Row],[Pcode]],'NFI Distributions'!AM$38:AM$1048576)</f>
        <v>0</v>
      </c>
      <c r="J120" s="116">
        <f ca="1">MAX(Table10[[#This Row],[HH]]*VLOOKUP("Winter Clothes Adult",NFI,6)-Table10[[#This Row],[Winter Clothes Adult ]],0)</f>
        <v>26</v>
      </c>
      <c r="K120" s="116">
        <f ca="1">MAX(Table10[[#This Row],[HH]]*VLOOKUP("Winter Clothes Children ",NFI,6)-Table10[[#This Row],[Winter Clothes Children ]],0)</f>
        <v>13</v>
      </c>
      <c r="L120" s="116">
        <f ca="1">MAX(Table10[[#This Row],[HH]]*VLOOKUP("Winter Items Other ",NFI,6)-Table10[[#This Row],[Winter Items Other ]],0)</f>
        <v>13</v>
      </c>
      <c r="M120" s="129" t="str">
        <f>IF(OR(Table10[[#This Row],[Winter Clothes Adult ]]&lt;&gt;0,Table10[[#This Row],[Winter Clothes Children ]]&lt;&gt;0,Table10[[#This Row],[Winter Items Other ]]&lt;&gt;0),"No","")</f>
        <v/>
      </c>
      <c r="N120" s="130">
        <f>COUNTIF(A:A,Table10[[#This Row],[Pcode]])-1</f>
        <v>0</v>
      </c>
    </row>
    <row r="121" spans="1:14" x14ac:dyDescent="0.25">
      <c r="A121" s="110"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16">
        <f ca="1">OFFSET(CampList[HH],MATCH(Table10[[#This Row],[Pcode]],CampList[CP_Pcode],0)-1,0,1,1)</f>
        <v>0</v>
      </c>
      <c r="F121" s="116">
        <f ca="1">OFFSET(CampList[Total],MATCH(Table10[[#This Row],[Pcode]],CampList[CP_Pcode],0)-1,0,1,1)</f>
        <v>0</v>
      </c>
      <c r="G121" s="116">
        <f>SUMIF('NFI Distributions'!AS$38:AS$1048576,Table10[[#This Row],[Pcode]],'NFI Distributions'!AK$38:AK$1048576)</f>
        <v>0</v>
      </c>
      <c r="H121" s="116">
        <f>SUMIF('NFI Distributions'!AS$38:AS$1048576,Table10[[#This Row],[Pcode]],'NFI Distributions'!AL$38:AL$1048576)</f>
        <v>0</v>
      </c>
      <c r="I121" s="116">
        <f>SUMIF('NFI Distributions'!AS$38:AS$1048576,Table10[[#This Row],[Pcode]],'NFI Distributions'!AM$38:AM$1048576)</f>
        <v>0</v>
      </c>
      <c r="J121" s="116">
        <f ca="1">MAX(Table10[[#This Row],[HH]]*VLOOKUP("Winter Clothes Adult",NFI,6)-Table10[[#This Row],[Winter Clothes Adult ]],0)</f>
        <v>0</v>
      </c>
      <c r="K121" s="116">
        <f ca="1">MAX(Table10[[#This Row],[HH]]*VLOOKUP("Winter Clothes Children ",NFI,6)-Table10[[#This Row],[Winter Clothes Children ]],0)</f>
        <v>0</v>
      </c>
      <c r="L121" s="116">
        <f ca="1">MAX(Table10[[#This Row],[HH]]*VLOOKUP("Winter Items Other ",NFI,6)-Table10[[#This Row],[Winter Items Other ]],0)</f>
        <v>0</v>
      </c>
      <c r="M121" s="129" t="str">
        <f>IF(OR(Table10[[#This Row],[Winter Clothes Adult ]]&lt;&gt;0,Table10[[#This Row],[Winter Clothes Children ]]&lt;&gt;0,Table10[[#This Row],[Winter Items Other ]]&lt;&gt;0),"No","")</f>
        <v/>
      </c>
      <c r="N121" s="130">
        <f>COUNTIF(A:A,Table10[[#This Row],[Pcode]])-1</f>
        <v>0</v>
      </c>
    </row>
    <row r="122" spans="1:14" x14ac:dyDescent="0.25">
      <c r="A122" s="110"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16">
        <f ca="1">OFFSET(CampList[HH],MATCH(Table10[[#This Row],[Pcode]],CampList[CP_Pcode],0)-1,0,1,1)</f>
        <v>44</v>
      </c>
      <c r="F122" s="116">
        <f ca="1">OFFSET(CampList[Total],MATCH(Table10[[#This Row],[Pcode]],CampList[CP_Pcode],0)-1,0,1,1)</f>
        <v>143</v>
      </c>
      <c r="G122" s="116">
        <f>SUMIF('NFI Distributions'!AS$38:AS$1048576,Table10[[#This Row],[Pcode]],'NFI Distributions'!AK$38:AK$1048576)</f>
        <v>0</v>
      </c>
      <c r="H122" s="116">
        <f>SUMIF('NFI Distributions'!AS$38:AS$1048576,Table10[[#This Row],[Pcode]],'NFI Distributions'!AL$38:AL$1048576)</f>
        <v>0</v>
      </c>
      <c r="I122" s="116">
        <f>SUMIF('NFI Distributions'!AS$38:AS$1048576,Table10[[#This Row],[Pcode]],'NFI Distributions'!AM$38:AM$1048576)</f>
        <v>0</v>
      </c>
      <c r="J122" s="116">
        <f ca="1">MAX(Table10[[#This Row],[HH]]*VLOOKUP("Winter Clothes Adult",NFI,6)-Table10[[#This Row],[Winter Clothes Adult ]],0)</f>
        <v>88</v>
      </c>
      <c r="K122" s="116">
        <f ca="1">MAX(Table10[[#This Row],[HH]]*VLOOKUP("Winter Clothes Children ",NFI,6)-Table10[[#This Row],[Winter Clothes Children ]],0)</f>
        <v>44</v>
      </c>
      <c r="L122" s="116">
        <f ca="1">MAX(Table10[[#This Row],[HH]]*VLOOKUP("Winter Items Other ",NFI,6)-Table10[[#This Row],[Winter Items Other ]],0)</f>
        <v>44</v>
      </c>
      <c r="M122" s="129" t="str">
        <f>IF(OR(Table10[[#This Row],[Winter Clothes Adult ]]&lt;&gt;0,Table10[[#This Row],[Winter Clothes Children ]]&lt;&gt;0,Table10[[#This Row],[Winter Items Other ]]&lt;&gt;0),"No","")</f>
        <v/>
      </c>
      <c r="N122" s="130">
        <f>COUNTIF(A:A,Table10[[#This Row],[Pcode]])-1</f>
        <v>0</v>
      </c>
    </row>
    <row r="123" spans="1:14" x14ac:dyDescent="0.25">
      <c r="A123" s="110" t="s">
        <v>910</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16">
        <f ca="1">OFFSET(CampList[HH],MATCH(Table10[[#This Row],[Pcode]],CampList[CP_Pcode],0)-1,0,1,1)</f>
        <v>35</v>
      </c>
      <c r="F123" s="116">
        <f ca="1">OFFSET(CampList[Total],MATCH(Table10[[#This Row],[Pcode]],CampList[CP_Pcode],0)-1,0,1,1)</f>
        <v>177</v>
      </c>
      <c r="G123" s="116">
        <f>SUMIF('NFI Distributions'!AS$38:AS$1048576,Table10[[#This Row],[Pcode]],'NFI Distributions'!AK$38:AK$1048576)</f>
        <v>0</v>
      </c>
      <c r="H123" s="116">
        <f>SUMIF('NFI Distributions'!AS$38:AS$1048576,Table10[[#This Row],[Pcode]],'NFI Distributions'!AL$38:AL$1048576)</f>
        <v>0</v>
      </c>
      <c r="I123" s="116">
        <f>SUMIF('NFI Distributions'!AS$38:AS$1048576,Table10[[#This Row],[Pcode]],'NFI Distributions'!AM$38:AM$1048576)</f>
        <v>0</v>
      </c>
      <c r="J123" s="116">
        <f ca="1">MAX(Table10[[#This Row],[HH]]*VLOOKUP("Winter Clothes Adult",NFI,6)-Table10[[#This Row],[Winter Clothes Adult ]],0)</f>
        <v>70</v>
      </c>
      <c r="K123" s="116">
        <f ca="1">MAX(Table10[[#This Row],[HH]]*VLOOKUP("Winter Clothes Children ",NFI,6)-Table10[[#This Row],[Winter Clothes Children ]],0)</f>
        <v>35</v>
      </c>
      <c r="L123" s="116">
        <f ca="1">MAX(Table10[[#This Row],[HH]]*VLOOKUP("Winter Items Other ",NFI,6)-Table10[[#This Row],[Winter Items Other ]],0)</f>
        <v>35</v>
      </c>
      <c r="M123" s="129" t="str">
        <f>IF(OR(Table10[[#This Row],[Winter Clothes Adult ]]&lt;&gt;0,Table10[[#This Row],[Winter Clothes Children ]]&lt;&gt;0,Table10[[#This Row],[Winter Items Other ]]&lt;&gt;0),"No","")</f>
        <v/>
      </c>
      <c r="N123" s="130">
        <f>COUNTIF(A:A,Table10[[#This Row],[Pcode]])-1</f>
        <v>0</v>
      </c>
    </row>
    <row r="124" spans="1:14" x14ac:dyDescent="0.25">
      <c r="A124" s="110"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16">
        <f ca="1">OFFSET(CampList[HH],MATCH(Table10[[#This Row],[Pcode]],CampList[CP_Pcode],0)-1,0,1,1)</f>
        <v>11</v>
      </c>
      <c r="F124" s="116">
        <f ca="1">OFFSET(CampList[Total],MATCH(Table10[[#This Row],[Pcode]],CampList[CP_Pcode],0)-1,0,1,1)</f>
        <v>45</v>
      </c>
      <c r="G124" s="116">
        <f>SUMIF('NFI Distributions'!AS$38:AS$1048576,Table10[[#This Row],[Pcode]],'NFI Distributions'!AK$38:AK$1048576)</f>
        <v>0</v>
      </c>
      <c r="H124" s="116">
        <f>SUMIF('NFI Distributions'!AS$38:AS$1048576,Table10[[#This Row],[Pcode]],'NFI Distributions'!AL$38:AL$1048576)</f>
        <v>0</v>
      </c>
      <c r="I124" s="116">
        <f>SUMIF('NFI Distributions'!AS$38:AS$1048576,Table10[[#This Row],[Pcode]],'NFI Distributions'!AM$38:AM$1048576)</f>
        <v>0</v>
      </c>
      <c r="J124" s="116">
        <f ca="1">MAX(Table10[[#This Row],[HH]]*VLOOKUP("Winter Clothes Adult",NFI,6)-Table10[[#This Row],[Winter Clothes Adult ]],0)</f>
        <v>22</v>
      </c>
      <c r="K124" s="116">
        <f ca="1">MAX(Table10[[#This Row],[HH]]*VLOOKUP("Winter Clothes Children ",NFI,6)-Table10[[#This Row],[Winter Clothes Children ]],0)</f>
        <v>11</v>
      </c>
      <c r="L124" s="116">
        <f ca="1">MAX(Table10[[#This Row],[HH]]*VLOOKUP("Winter Items Other ",NFI,6)-Table10[[#This Row],[Winter Items Other ]],0)</f>
        <v>11</v>
      </c>
      <c r="M124" s="129" t="str">
        <f>IF(OR(Table10[[#This Row],[Winter Clothes Adult ]]&lt;&gt;0,Table10[[#This Row],[Winter Clothes Children ]]&lt;&gt;0,Table10[[#This Row],[Winter Items Other ]]&lt;&gt;0),"No","")</f>
        <v/>
      </c>
      <c r="N124" s="130">
        <f>COUNTIF(A:A,Table10[[#This Row],[Pcode]])-1</f>
        <v>0</v>
      </c>
    </row>
    <row r="125" spans="1:14" x14ac:dyDescent="0.25">
      <c r="A125" s="110" t="s">
        <v>914</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16">
        <f ca="1">OFFSET(CampList[HH],MATCH(Table10[[#This Row],[Pcode]],CampList[CP_Pcode],0)-1,0,1,1)</f>
        <v>117</v>
      </c>
      <c r="F125" s="116">
        <f ca="1">OFFSET(CampList[Total],MATCH(Table10[[#This Row],[Pcode]],CampList[CP_Pcode],0)-1,0,1,1)</f>
        <v>545</v>
      </c>
      <c r="G125" s="116">
        <f>SUMIF('NFI Distributions'!AS$38:AS$1048576,Table10[[#This Row],[Pcode]],'NFI Distributions'!AK$38:AK$1048576)</f>
        <v>0</v>
      </c>
      <c r="H125" s="116">
        <f>SUMIF('NFI Distributions'!AS$38:AS$1048576,Table10[[#This Row],[Pcode]],'NFI Distributions'!AL$38:AL$1048576)</f>
        <v>0</v>
      </c>
      <c r="I125" s="116">
        <f>SUMIF('NFI Distributions'!AS$38:AS$1048576,Table10[[#This Row],[Pcode]],'NFI Distributions'!AM$38:AM$1048576)</f>
        <v>0</v>
      </c>
      <c r="J125" s="116">
        <f ca="1">MAX(Table10[[#This Row],[HH]]*VLOOKUP("Winter Clothes Adult",NFI,6)-Table10[[#This Row],[Winter Clothes Adult ]],0)</f>
        <v>234</v>
      </c>
      <c r="K125" s="116">
        <f ca="1">MAX(Table10[[#This Row],[HH]]*VLOOKUP("Winter Clothes Children ",NFI,6)-Table10[[#This Row],[Winter Clothes Children ]],0)</f>
        <v>117</v>
      </c>
      <c r="L125" s="116">
        <f ca="1">MAX(Table10[[#This Row],[HH]]*VLOOKUP("Winter Items Other ",NFI,6)-Table10[[#This Row],[Winter Items Other ]],0)</f>
        <v>117</v>
      </c>
      <c r="M125" s="129" t="str">
        <f>IF(OR(Table10[[#This Row],[Winter Clothes Adult ]]&lt;&gt;0,Table10[[#This Row],[Winter Clothes Children ]]&lt;&gt;0,Table10[[#This Row],[Winter Items Other ]]&lt;&gt;0),"No","")</f>
        <v/>
      </c>
      <c r="N125" s="130">
        <f>COUNTIF(A:A,Table10[[#This Row],[Pcode]])-1</f>
        <v>0</v>
      </c>
    </row>
    <row r="126" spans="1:14" x14ac:dyDescent="0.25">
      <c r="A126" s="110"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16">
        <f ca="1">OFFSET(CampList[HH],MATCH(Table10[[#This Row],[Pcode]],CampList[CP_Pcode],0)-1,0,1,1)</f>
        <v>63</v>
      </c>
      <c r="F126" s="116">
        <f ca="1">OFFSET(CampList[Total],MATCH(Table10[[#This Row],[Pcode]],CampList[CP_Pcode],0)-1,0,1,1)</f>
        <v>310</v>
      </c>
      <c r="G126" s="116">
        <f>SUMIF('NFI Distributions'!AS$38:AS$1048576,Table10[[#This Row],[Pcode]],'NFI Distributions'!AK$38:AK$1048576)</f>
        <v>0</v>
      </c>
      <c r="H126" s="116">
        <f>SUMIF('NFI Distributions'!AS$38:AS$1048576,Table10[[#This Row],[Pcode]],'NFI Distributions'!AL$38:AL$1048576)</f>
        <v>0</v>
      </c>
      <c r="I126" s="116">
        <f>SUMIF('NFI Distributions'!AS$38:AS$1048576,Table10[[#This Row],[Pcode]],'NFI Distributions'!AM$38:AM$1048576)</f>
        <v>0</v>
      </c>
      <c r="J126" s="116">
        <f ca="1">MAX(Table10[[#This Row],[HH]]*VLOOKUP("Winter Clothes Adult",NFI,6)-Table10[[#This Row],[Winter Clothes Adult ]],0)</f>
        <v>126</v>
      </c>
      <c r="K126" s="116">
        <f ca="1">MAX(Table10[[#This Row],[HH]]*VLOOKUP("Winter Clothes Children ",NFI,6)-Table10[[#This Row],[Winter Clothes Children ]],0)</f>
        <v>63</v>
      </c>
      <c r="L126" s="116">
        <f ca="1">MAX(Table10[[#This Row],[HH]]*VLOOKUP("Winter Items Other ",NFI,6)-Table10[[#This Row],[Winter Items Other ]],0)</f>
        <v>63</v>
      </c>
      <c r="M126" s="129" t="str">
        <f>IF(OR(Table10[[#This Row],[Winter Clothes Adult ]]&lt;&gt;0,Table10[[#This Row],[Winter Clothes Children ]]&lt;&gt;0,Table10[[#This Row],[Winter Items Other ]]&lt;&gt;0),"No","")</f>
        <v/>
      </c>
      <c r="N126" s="130">
        <f>COUNTIF(A:A,Table10[[#This Row],[Pcode]])-1</f>
        <v>0</v>
      </c>
    </row>
    <row r="127" spans="1:14" x14ac:dyDescent="0.25">
      <c r="A127" s="110"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16">
        <f ca="1">OFFSET(CampList[HH],MATCH(Table10[[#This Row],[Pcode]],CampList[CP_Pcode],0)-1,0,1,1)</f>
        <v>21</v>
      </c>
      <c r="F127" s="116">
        <f ca="1">OFFSET(CampList[Total],MATCH(Table10[[#This Row],[Pcode]],CampList[CP_Pcode],0)-1,0,1,1)</f>
        <v>113</v>
      </c>
      <c r="G127" s="116">
        <f>SUMIF('NFI Distributions'!AS$38:AS$1048576,Table10[[#This Row],[Pcode]],'NFI Distributions'!AK$38:AK$1048576)</f>
        <v>0</v>
      </c>
      <c r="H127" s="116">
        <f>SUMIF('NFI Distributions'!AS$38:AS$1048576,Table10[[#This Row],[Pcode]],'NFI Distributions'!AL$38:AL$1048576)</f>
        <v>0</v>
      </c>
      <c r="I127" s="116">
        <f>SUMIF('NFI Distributions'!AS$38:AS$1048576,Table10[[#This Row],[Pcode]],'NFI Distributions'!AM$38:AM$1048576)</f>
        <v>0</v>
      </c>
      <c r="J127" s="116">
        <f ca="1">MAX(Table10[[#This Row],[HH]]*VLOOKUP("Winter Clothes Adult",NFI,6)-Table10[[#This Row],[Winter Clothes Adult ]],0)</f>
        <v>42</v>
      </c>
      <c r="K127" s="116">
        <f ca="1">MAX(Table10[[#This Row],[HH]]*VLOOKUP("Winter Clothes Children ",NFI,6)-Table10[[#This Row],[Winter Clothes Children ]],0)</f>
        <v>21</v>
      </c>
      <c r="L127" s="116">
        <f ca="1">MAX(Table10[[#This Row],[HH]]*VLOOKUP("Winter Items Other ",NFI,6)-Table10[[#This Row],[Winter Items Other ]],0)</f>
        <v>21</v>
      </c>
      <c r="M127" s="129" t="str">
        <f>IF(OR(Table10[[#This Row],[Winter Clothes Adult ]]&lt;&gt;0,Table10[[#This Row],[Winter Clothes Children ]]&lt;&gt;0,Table10[[#This Row],[Winter Items Other ]]&lt;&gt;0),"No","")</f>
        <v/>
      </c>
      <c r="N127" s="130">
        <f>COUNTIF(A:A,Table10[[#This Row],[Pcode]])-1</f>
        <v>0</v>
      </c>
    </row>
    <row r="128" spans="1:14" x14ac:dyDescent="0.25">
      <c r="A128" s="110"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16">
        <f ca="1">OFFSET(CampList[HH],MATCH(Table10[[#This Row],[Pcode]],CampList[CP_Pcode],0)-1,0,1,1)</f>
        <v>53</v>
      </c>
      <c r="F128" s="116">
        <f ca="1">OFFSET(CampList[Total],MATCH(Table10[[#This Row],[Pcode]],CampList[CP_Pcode],0)-1,0,1,1)</f>
        <v>277</v>
      </c>
      <c r="G128" s="116">
        <f>SUMIF('NFI Distributions'!AS$38:AS$1048576,Table10[[#This Row],[Pcode]],'NFI Distributions'!AK$38:AK$1048576)</f>
        <v>0</v>
      </c>
      <c r="H128" s="116">
        <f>SUMIF('NFI Distributions'!AS$38:AS$1048576,Table10[[#This Row],[Pcode]],'NFI Distributions'!AL$38:AL$1048576)</f>
        <v>0</v>
      </c>
      <c r="I128" s="116">
        <f>SUMIF('NFI Distributions'!AS$38:AS$1048576,Table10[[#This Row],[Pcode]],'NFI Distributions'!AM$38:AM$1048576)</f>
        <v>0</v>
      </c>
      <c r="J128" s="116">
        <f ca="1">MAX(Table10[[#This Row],[HH]]*VLOOKUP("Winter Clothes Adult",NFI,6)-Table10[[#This Row],[Winter Clothes Adult ]],0)</f>
        <v>106</v>
      </c>
      <c r="K128" s="116">
        <f ca="1">MAX(Table10[[#This Row],[HH]]*VLOOKUP("Winter Clothes Children ",NFI,6)-Table10[[#This Row],[Winter Clothes Children ]],0)</f>
        <v>53</v>
      </c>
      <c r="L128" s="116">
        <f ca="1">MAX(Table10[[#This Row],[HH]]*VLOOKUP("Winter Items Other ",NFI,6)-Table10[[#This Row],[Winter Items Other ]],0)</f>
        <v>53</v>
      </c>
      <c r="M128" s="129" t="str">
        <f>IF(OR(Table10[[#This Row],[Winter Clothes Adult ]]&lt;&gt;0,Table10[[#This Row],[Winter Clothes Children ]]&lt;&gt;0,Table10[[#This Row],[Winter Items Other ]]&lt;&gt;0),"No","")</f>
        <v/>
      </c>
      <c r="N128" s="130">
        <f>COUNTIF(A:A,Table10[[#This Row],[Pcode]])-1</f>
        <v>0</v>
      </c>
    </row>
    <row r="129" spans="1:14" x14ac:dyDescent="0.25">
      <c r="A129" s="110"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16">
        <f ca="1">OFFSET(CampList[HH],MATCH(Table10[[#This Row],[Pcode]],CampList[CP_Pcode],0)-1,0,1,1)</f>
        <v>0</v>
      </c>
      <c r="F129" s="116">
        <f ca="1">OFFSET(CampList[Total],MATCH(Table10[[#This Row],[Pcode]],CampList[CP_Pcode],0)-1,0,1,1)</f>
        <v>0</v>
      </c>
      <c r="G129" s="116">
        <f>SUMIF('NFI Distributions'!AS$38:AS$1048576,Table10[[#This Row],[Pcode]],'NFI Distributions'!AK$38:AK$1048576)</f>
        <v>0</v>
      </c>
      <c r="H129" s="116">
        <f>SUMIF('NFI Distributions'!AS$38:AS$1048576,Table10[[#This Row],[Pcode]],'NFI Distributions'!AL$38:AL$1048576)</f>
        <v>0</v>
      </c>
      <c r="I129" s="116">
        <f>SUMIF('NFI Distributions'!AS$38:AS$1048576,Table10[[#This Row],[Pcode]],'NFI Distributions'!AM$38:AM$1048576)</f>
        <v>0</v>
      </c>
      <c r="J129" s="116">
        <f ca="1">MAX(Table10[[#This Row],[HH]]*VLOOKUP("Winter Clothes Adult",NFI,6)-Table10[[#This Row],[Winter Clothes Adult ]],0)</f>
        <v>0</v>
      </c>
      <c r="K129" s="116">
        <f ca="1">MAX(Table10[[#This Row],[HH]]*VLOOKUP("Winter Clothes Children ",NFI,6)-Table10[[#This Row],[Winter Clothes Children ]],0)</f>
        <v>0</v>
      </c>
      <c r="L129" s="116">
        <f ca="1">MAX(Table10[[#This Row],[HH]]*VLOOKUP("Winter Items Other ",NFI,6)-Table10[[#This Row],[Winter Items Other ]],0)</f>
        <v>0</v>
      </c>
      <c r="M129" s="129" t="str">
        <f>IF(OR(Table10[[#This Row],[Winter Clothes Adult ]]&lt;&gt;0,Table10[[#This Row],[Winter Clothes Children ]]&lt;&gt;0,Table10[[#This Row],[Winter Items Other ]]&lt;&gt;0),"No","")</f>
        <v/>
      </c>
      <c r="N129" s="130">
        <f>COUNTIF(A:A,Table10[[#This Row],[Pcode]])-1</f>
        <v>0</v>
      </c>
    </row>
    <row r="130" spans="1:14" x14ac:dyDescent="0.25">
      <c r="A130" s="110" t="s">
        <v>774</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16">
        <f ca="1">OFFSET(CampList[HH],MATCH(Table10[[#This Row],[Pcode]],CampList[CP_Pcode],0)-1,0,1,1)</f>
        <v>67</v>
      </c>
      <c r="F130" s="116">
        <f ca="1">OFFSET(CampList[Total],MATCH(Table10[[#This Row],[Pcode]],CampList[CP_Pcode],0)-1,0,1,1)</f>
        <v>392</v>
      </c>
      <c r="G130" s="116">
        <f>SUMIF('NFI Distributions'!AS$38:AS$1048576,Table10[[#This Row],[Pcode]],'NFI Distributions'!AK$38:AK$1048576)</f>
        <v>0</v>
      </c>
      <c r="H130" s="116">
        <f>SUMIF('NFI Distributions'!AS$38:AS$1048576,Table10[[#This Row],[Pcode]],'NFI Distributions'!AL$38:AL$1048576)</f>
        <v>0</v>
      </c>
      <c r="I130" s="116">
        <f>SUMIF('NFI Distributions'!AS$38:AS$1048576,Table10[[#This Row],[Pcode]],'NFI Distributions'!AM$38:AM$1048576)</f>
        <v>0</v>
      </c>
      <c r="J130" s="116">
        <f ca="1">MAX(Table10[[#This Row],[HH]]*VLOOKUP("Winter Clothes Adult",NFI,6)-Table10[[#This Row],[Winter Clothes Adult ]],0)</f>
        <v>134</v>
      </c>
      <c r="K130" s="116">
        <f ca="1">MAX(Table10[[#This Row],[HH]]*VLOOKUP("Winter Clothes Children ",NFI,6)-Table10[[#This Row],[Winter Clothes Children ]],0)</f>
        <v>67</v>
      </c>
      <c r="L130" s="116">
        <f ca="1">MAX(Table10[[#This Row],[HH]]*VLOOKUP("Winter Items Other ",NFI,6)-Table10[[#This Row],[Winter Items Other ]],0)</f>
        <v>67</v>
      </c>
      <c r="M130" s="129" t="str">
        <f>IF(OR(Table10[[#This Row],[Winter Clothes Adult ]]&lt;&gt;0,Table10[[#This Row],[Winter Clothes Children ]]&lt;&gt;0,Table10[[#This Row],[Winter Items Other ]]&lt;&gt;0),"No","")</f>
        <v/>
      </c>
      <c r="N130" s="130">
        <f>COUNTIF(A:A,Table10[[#This Row],[Pcode]])-1</f>
        <v>0</v>
      </c>
    </row>
    <row r="131" spans="1:14" x14ac:dyDescent="0.25">
      <c r="A131" s="110"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16">
        <f ca="1">OFFSET(CampList[HH],MATCH(Table10[[#This Row],[Pcode]],CampList[CP_Pcode],0)-1,0,1,1)</f>
        <v>11</v>
      </c>
      <c r="F131" s="116">
        <f ca="1">OFFSET(CampList[Total],MATCH(Table10[[#This Row],[Pcode]],CampList[CP_Pcode],0)-1,0,1,1)</f>
        <v>40</v>
      </c>
      <c r="G131" s="116">
        <f>SUMIF('NFI Distributions'!AS$38:AS$1048576,Table10[[#This Row],[Pcode]],'NFI Distributions'!AK$38:AK$1048576)</f>
        <v>0</v>
      </c>
      <c r="H131" s="116">
        <f>SUMIF('NFI Distributions'!AS$38:AS$1048576,Table10[[#This Row],[Pcode]],'NFI Distributions'!AL$38:AL$1048576)</f>
        <v>0</v>
      </c>
      <c r="I131" s="116">
        <f>SUMIF('NFI Distributions'!AS$38:AS$1048576,Table10[[#This Row],[Pcode]],'NFI Distributions'!AM$38:AM$1048576)</f>
        <v>0</v>
      </c>
      <c r="J131" s="116">
        <f ca="1">MAX(Table10[[#This Row],[HH]]*VLOOKUP("Winter Clothes Adult",NFI,6)-Table10[[#This Row],[Winter Clothes Adult ]],0)</f>
        <v>22</v>
      </c>
      <c r="K131" s="116">
        <f ca="1">MAX(Table10[[#This Row],[HH]]*VLOOKUP("Winter Clothes Children ",NFI,6)-Table10[[#This Row],[Winter Clothes Children ]],0)</f>
        <v>11</v>
      </c>
      <c r="L131" s="116">
        <f ca="1">MAX(Table10[[#This Row],[HH]]*VLOOKUP("Winter Items Other ",NFI,6)-Table10[[#This Row],[Winter Items Other ]],0)</f>
        <v>11</v>
      </c>
      <c r="M131" s="129" t="str">
        <f>IF(OR(Table10[[#This Row],[Winter Clothes Adult ]]&lt;&gt;0,Table10[[#This Row],[Winter Clothes Children ]]&lt;&gt;0,Table10[[#This Row],[Winter Items Other ]]&lt;&gt;0),"No","")</f>
        <v/>
      </c>
      <c r="N131" s="130">
        <f>COUNTIF(A:A,Table10[[#This Row],[Pcode]])-1</f>
        <v>0</v>
      </c>
    </row>
    <row r="132" spans="1:14" x14ac:dyDescent="0.25">
      <c r="A132" s="110"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16">
        <f ca="1">OFFSET(CampList[HH],MATCH(Table10[[#This Row],[Pcode]],CampList[CP_Pcode],0)-1,0,1,1)</f>
        <v>20</v>
      </c>
      <c r="F132" s="116">
        <f ca="1">OFFSET(CampList[Total],MATCH(Table10[[#This Row],[Pcode]],CampList[CP_Pcode],0)-1,0,1,1)</f>
        <v>86</v>
      </c>
      <c r="G132" s="116">
        <f>SUMIF('NFI Distributions'!AS$38:AS$1048576,Table10[[#This Row],[Pcode]],'NFI Distributions'!AK$38:AK$1048576)</f>
        <v>0</v>
      </c>
      <c r="H132" s="116">
        <f>SUMIF('NFI Distributions'!AS$38:AS$1048576,Table10[[#This Row],[Pcode]],'NFI Distributions'!AL$38:AL$1048576)</f>
        <v>0</v>
      </c>
      <c r="I132" s="116">
        <f>SUMIF('NFI Distributions'!AS$38:AS$1048576,Table10[[#This Row],[Pcode]],'NFI Distributions'!AM$38:AM$1048576)</f>
        <v>0</v>
      </c>
      <c r="J132" s="116">
        <f ca="1">MAX(Table10[[#This Row],[HH]]*VLOOKUP("Winter Clothes Adult",NFI,6)-Table10[[#This Row],[Winter Clothes Adult ]],0)</f>
        <v>40</v>
      </c>
      <c r="K132" s="116">
        <f ca="1">MAX(Table10[[#This Row],[HH]]*VLOOKUP("Winter Clothes Children ",NFI,6)-Table10[[#This Row],[Winter Clothes Children ]],0)</f>
        <v>20</v>
      </c>
      <c r="L132" s="116">
        <f ca="1">MAX(Table10[[#This Row],[HH]]*VLOOKUP("Winter Items Other ",NFI,6)-Table10[[#This Row],[Winter Items Other ]],0)</f>
        <v>20</v>
      </c>
      <c r="M132" s="129" t="str">
        <f>IF(OR(Table10[[#This Row],[Winter Clothes Adult ]]&lt;&gt;0,Table10[[#This Row],[Winter Clothes Children ]]&lt;&gt;0,Table10[[#This Row],[Winter Items Other ]]&lt;&gt;0),"No","")</f>
        <v/>
      </c>
      <c r="N132" s="130">
        <f>COUNTIF(A:A,Table10[[#This Row],[Pcode]])-1</f>
        <v>0</v>
      </c>
    </row>
    <row r="133" spans="1:14" x14ac:dyDescent="0.25">
      <c r="A133" s="110"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16">
        <f ca="1">OFFSET(CampList[HH],MATCH(Table10[[#This Row],[Pcode]],CampList[CP_Pcode],0)-1,0,1,1)</f>
        <v>24</v>
      </c>
      <c r="F133" s="116">
        <f ca="1">OFFSET(CampList[Total],MATCH(Table10[[#This Row],[Pcode]],CampList[CP_Pcode],0)-1,0,1,1)</f>
        <v>115</v>
      </c>
      <c r="G133" s="116">
        <f>SUMIF('NFI Distributions'!AS$38:AS$1048576,Table10[[#This Row],[Pcode]],'NFI Distributions'!AK$38:AK$1048576)</f>
        <v>0</v>
      </c>
      <c r="H133" s="116">
        <f>SUMIF('NFI Distributions'!AS$38:AS$1048576,Table10[[#This Row],[Pcode]],'NFI Distributions'!AL$38:AL$1048576)</f>
        <v>0</v>
      </c>
      <c r="I133" s="116">
        <f>SUMIF('NFI Distributions'!AS$38:AS$1048576,Table10[[#This Row],[Pcode]],'NFI Distributions'!AM$38:AM$1048576)</f>
        <v>0</v>
      </c>
      <c r="J133" s="116">
        <f ca="1">MAX(Table10[[#This Row],[HH]]*VLOOKUP("Winter Clothes Adult",NFI,6)-Table10[[#This Row],[Winter Clothes Adult ]],0)</f>
        <v>48</v>
      </c>
      <c r="K133" s="116">
        <f ca="1">MAX(Table10[[#This Row],[HH]]*VLOOKUP("Winter Clothes Children ",NFI,6)-Table10[[#This Row],[Winter Clothes Children ]],0)</f>
        <v>24</v>
      </c>
      <c r="L133" s="116">
        <f ca="1">MAX(Table10[[#This Row],[HH]]*VLOOKUP("Winter Items Other ",NFI,6)-Table10[[#This Row],[Winter Items Other ]],0)</f>
        <v>24</v>
      </c>
      <c r="M133" s="129" t="str">
        <f>IF(OR(Table10[[#This Row],[Winter Clothes Adult ]]&lt;&gt;0,Table10[[#This Row],[Winter Clothes Children ]]&lt;&gt;0,Table10[[#This Row],[Winter Items Other ]]&lt;&gt;0),"No","")</f>
        <v/>
      </c>
      <c r="N133" s="130">
        <f>COUNTIF(A:A,Table10[[#This Row],[Pcode]])-1</f>
        <v>0</v>
      </c>
    </row>
    <row r="134" spans="1:14" x14ac:dyDescent="0.25">
      <c r="A134" s="110"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16">
        <f ca="1">OFFSET(CampList[HH],MATCH(Table10[[#This Row],[Pcode]],CampList[CP_Pcode],0)-1,0,1,1)</f>
        <v>0</v>
      </c>
      <c r="F134" s="116">
        <f ca="1">OFFSET(CampList[Total],MATCH(Table10[[#This Row],[Pcode]],CampList[CP_Pcode],0)-1,0,1,1)</f>
        <v>0</v>
      </c>
      <c r="G134" s="116">
        <f>SUMIF('NFI Distributions'!AS$38:AS$1048576,Table10[[#This Row],[Pcode]],'NFI Distributions'!AK$38:AK$1048576)</f>
        <v>0</v>
      </c>
      <c r="H134" s="116">
        <f>SUMIF('NFI Distributions'!AS$38:AS$1048576,Table10[[#This Row],[Pcode]],'NFI Distributions'!AL$38:AL$1048576)</f>
        <v>0</v>
      </c>
      <c r="I134" s="116">
        <f>SUMIF('NFI Distributions'!AS$38:AS$1048576,Table10[[#This Row],[Pcode]],'NFI Distributions'!AM$38:AM$1048576)</f>
        <v>0</v>
      </c>
      <c r="J134" s="116">
        <f ca="1">MAX(Table10[[#This Row],[HH]]*VLOOKUP("Winter Clothes Adult",NFI,6)-Table10[[#This Row],[Winter Clothes Adult ]],0)</f>
        <v>0</v>
      </c>
      <c r="K134" s="116">
        <f ca="1">MAX(Table10[[#This Row],[HH]]*VLOOKUP("Winter Clothes Children ",NFI,6)-Table10[[#This Row],[Winter Clothes Children ]],0)</f>
        <v>0</v>
      </c>
      <c r="L134" s="116">
        <f ca="1">MAX(Table10[[#This Row],[HH]]*VLOOKUP("Winter Items Other ",NFI,6)-Table10[[#This Row],[Winter Items Other ]],0)</f>
        <v>0</v>
      </c>
      <c r="M134" s="129" t="str">
        <f>IF(OR(Table10[[#This Row],[Winter Clothes Adult ]]&lt;&gt;0,Table10[[#This Row],[Winter Clothes Children ]]&lt;&gt;0,Table10[[#This Row],[Winter Items Other ]]&lt;&gt;0),"No","")</f>
        <v/>
      </c>
      <c r="N134" s="130">
        <f>COUNTIF(A:A,Table10[[#This Row],[Pcode]])-1</f>
        <v>0</v>
      </c>
    </row>
    <row r="135" spans="1:14" x14ac:dyDescent="0.25">
      <c r="A135" s="110"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16">
        <f ca="1">OFFSET(CampList[HH],MATCH(Table10[[#This Row],[Pcode]],CampList[CP_Pcode],0)-1,0,1,1)</f>
        <v>67</v>
      </c>
      <c r="F135" s="116">
        <f ca="1">OFFSET(CampList[Total],MATCH(Table10[[#This Row],[Pcode]],CampList[CP_Pcode],0)-1,0,1,1)</f>
        <v>297</v>
      </c>
      <c r="G135" s="116">
        <f>SUMIF('NFI Distributions'!AS$38:AS$1048576,Table10[[#This Row],[Pcode]],'NFI Distributions'!AK$38:AK$1048576)</f>
        <v>0</v>
      </c>
      <c r="H135" s="116">
        <f>SUMIF('NFI Distributions'!AS$38:AS$1048576,Table10[[#This Row],[Pcode]],'NFI Distributions'!AL$38:AL$1048576)</f>
        <v>0</v>
      </c>
      <c r="I135" s="116">
        <f>SUMIF('NFI Distributions'!AS$38:AS$1048576,Table10[[#This Row],[Pcode]],'NFI Distributions'!AM$38:AM$1048576)</f>
        <v>0</v>
      </c>
      <c r="J135" s="116">
        <f ca="1">MAX(Table10[[#This Row],[HH]]*VLOOKUP("Winter Clothes Adult",NFI,6)-Table10[[#This Row],[Winter Clothes Adult ]],0)</f>
        <v>134</v>
      </c>
      <c r="K135" s="116">
        <f ca="1">MAX(Table10[[#This Row],[HH]]*VLOOKUP("Winter Clothes Children ",NFI,6)-Table10[[#This Row],[Winter Clothes Children ]],0)</f>
        <v>67</v>
      </c>
      <c r="L135" s="116">
        <f ca="1">MAX(Table10[[#This Row],[HH]]*VLOOKUP("Winter Items Other ",NFI,6)-Table10[[#This Row],[Winter Items Other ]],0)</f>
        <v>67</v>
      </c>
      <c r="M135" s="129" t="str">
        <f>IF(OR(Table10[[#This Row],[Winter Clothes Adult ]]&lt;&gt;0,Table10[[#This Row],[Winter Clothes Children ]]&lt;&gt;0,Table10[[#This Row],[Winter Items Other ]]&lt;&gt;0),"No","")</f>
        <v/>
      </c>
      <c r="N135" s="130">
        <f>COUNTIF(A:A,Table10[[#This Row],[Pcode]])-1</f>
        <v>0</v>
      </c>
    </row>
    <row r="136" spans="1:14" x14ac:dyDescent="0.25">
      <c r="A136" s="110"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16">
        <f ca="1">OFFSET(CampList[HH],MATCH(Table10[[#This Row],[Pcode]],CampList[CP_Pcode],0)-1,0,1,1)</f>
        <v>46</v>
      </c>
      <c r="F136" s="116">
        <f ca="1">OFFSET(CampList[Total],MATCH(Table10[[#This Row],[Pcode]],CampList[CP_Pcode],0)-1,0,1,1)</f>
        <v>279</v>
      </c>
      <c r="G136" s="116">
        <f>SUMIF('NFI Distributions'!AS$38:AS$1048576,Table10[[#This Row],[Pcode]],'NFI Distributions'!AK$38:AK$1048576)</f>
        <v>0</v>
      </c>
      <c r="H136" s="116">
        <f>SUMIF('NFI Distributions'!AS$38:AS$1048576,Table10[[#This Row],[Pcode]],'NFI Distributions'!AL$38:AL$1048576)</f>
        <v>0</v>
      </c>
      <c r="I136" s="116">
        <f>SUMIF('NFI Distributions'!AS$38:AS$1048576,Table10[[#This Row],[Pcode]],'NFI Distributions'!AM$38:AM$1048576)</f>
        <v>0</v>
      </c>
      <c r="J136" s="116">
        <f ca="1">MAX(Table10[[#This Row],[HH]]*VLOOKUP("Winter Clothes Adult",NFI,6)-Table10[[#This Row],[Winter Clothes Adult ]],0)</f>
        <v>92</v>
      </c>
      <c r="K136" s="116">
        <f ca="1">MAX(Table10[[#This Row],[HH]]*VLOOKUP("Winter Clothes Children ",NFI,6)-Table10[[#This Row],[Winter Clothes Children ]],0)</f>
        <v>46</v>
      </c>
      <c r="L136" s="116">
        <f ca="1">MAX(Table10[[#This Row],[HH]]*VLOOKUP("Winter Items Other ",NFI,6)-Table10[[#This Row],[Winter Items Other ]],0)</f>
        <v>46</v>
      </c>
      <c r="M136" s="129" t="str">
        <f>IF(OR(Table10[[#This Row],[Winter Clothes Adult ]]&lt;&gt;0,Table10[[#This Row],[Winter Clothes Children ]]&lt;&gt;0,Table10[[#This Row],[Winter Items Other ]]&lt;&gt;0),"No","")</f>
        <v/>
      </c>
      <c r="N136" s="130">
        <f>COUNTIF(A:A,Table10[[#This Row],[Pcode]])-1</f>
        <v>0</v>
      </c>
    </row>
    <row r="137" spans="1:14" x14ac:dyDescent="0.25">
      <c r="A137" s="110"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16">
        <f ca="1">OFFSET(CampList[HH],MATCH(Table10[[#This Row],[Pcode]],CampList[CP_Pcode],0)-1,0,1,1)</f>
        <v>144</v>
      </c>
      <c r="F137" s="116">
        <f ca="1">OFFSET(CampList[Total],MATCH(Table10[[#This Row],[Pcode]],CampList[CP_Pcode],0)-1,0,1,1)</f>
        <v>754</v>
      </c>
      <c r="G137" s="116">
        <f>SUMIF('NFI Distributions'!AS$38:AS$1048576,Table10[[#This Row],[Pcode]],'NFI Distributions'!AK$38:AK$1048576)</f>
        <v>0</v>
      </c>
      <c r="H137" s="116">
        <f>SUMIF('NFI Distributions'!AS$38:AS$1048576,Table10[[#This Row],[Pcode]],'NFI Distributions'!AL$38:AL$1048576)</f>
        <v>0</v>
      </c>
      <c r="I137" s="116">
        <f>SUMIF('NFI Distributions'!AS$38:AS$1048576,Table10[[#This Row],[Pcode]],'NFI Distributions'!AM$38:AM$1048576)</f>
        <v>0</v>
      </c>
      <c r="J137" s="116">
        <f ca="1">MAX(Table10[[#This Row],[HH]]*VLOOKUP("Winter Clothes Adult",NFI,6)-Table10[[#This Row],[Winter Clothes Adult ]],0)</f>
        <v>288</v>
      </c>
      <c r="K137" s="116">
        <f ca="1">MAX(Table10[[#This Row],[HH]]*VLOOKUP("Winter Clothes Children ",NFI,6)-Table10[[#This Row],[Winter Clothes Children ]],0)</f>
        <v>144</v>
      </c>
      <c r="L137" s="116">
        <f ca="1">MAX(Table10[[#This Row],[HH]]*VLOOKUP("Winter Items Other ",NFI,6)-Table10[[#This Row],[Winter Items Other ]],0)</f>
        <v>144</v>
      </c>
      <c r="M137" s="129" t="str">
        <f>IF(OR(Table10[[#This Row],[Winter Clothes Adult ]]&lt;&gt;0,Table10[[#This Row],[Winter Clothes Children ]]&lt;&gt;0,Table10[[#This Row],[Winter Items Other ]]&lt;&gt;0),"No","")</f>
        <v/>
      </c>
      <c r="N137" s="130">
        <f>COUNTIF(A:A,Table10[[#This Row],[Pcode]])-1</f>
        <v>0</v>
      </c>
    </row>
    <row r="138" spans="1:14" x14ac:dyDescent="0.25">
      <c r="A138" s="110"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16">
        <f ca="1">OFFSET(CampList[HH],MATCH(Table10[[#This Row],[Pcode]],CampList[CP_Pcode],0)-1,0,1,1)</f>
        <v>0</v>
      </c>
      <c r="F138" s="116">
        <f ca="1">OFFSET(CampList[Total],MATCH(Table10[[#This Row],[Pcode]],CampList[CP_Pcode],0)-1,0,1,1)</f>
        <v>0</v>
      </c>
      <c r="G138" s="116">
        <f>SUMIF('NFI Distributions'!AS$38:AS$1048576,Table10[[#This Row],[Pcode]],'NFI Distributions'!AK$38:AK$1048576)</f>
        <v>0</v>
      </c>
      <c r="H138" s="116">
        <f>SUMIF('NFI Distributions'!AS$38:AS$1048576,Table10[[#This Row],[Pcode]],'NFI Distributions'!AL$38:AL$1048576)</f>
        <v>0</v>
      </c>
      <c r="I138" s="116">
        <f>SUMIF('NFI Distributions'!AS$38:AS$1048576,Table10[[#This Row],[Pcode]],'NFI Distributions'!AM$38:AM$1048576)</f>
        <v>0</v>
      </c>
      <c r="J138" s="116">
        <f ca="1">MAX(Table10[[#This Row],[HH]]*VLOOKUP("Winter Clothes Adult",NFI,6)-Table10[[#This Row],[Winter Clothes Adult ]],0)</f>
        <v>0</v>
      </c>
      <c r="K138" s="116">
        <f ca="1">MAX(Table10[[#This Row],[HH]]*VLOOKUP("Winter Clothes Children ",NFI,6)-Table10[[#This Row],[Winter Clothes Children ]],0)</f>
        <v>0</v>
      </c>
      <c r="L138" s="116">
        <f ca="1">MAX(Table10[[#This Row],[HH]]*VLOOKUP("Winter Items Other ",NFI,6)-Table10[[#This Row],[Winter Items Other ]],0)</f>
        <v>0</v>
      </c>
      <c r="M138" s="129" t="str">
        <f>IF(OR(Table10[[#This Row],[Winter Clothes Adult ]]&lt;&gt;0,Table10[[#This Row],[Winter Clothes Children ]]&lt;&gt;0,Table10[[#This Row],[Winter Items Other ]]&lt;&gt;0),"No","")</f>
        <v/>
      </c>
      <c r="N138" s="130">
        <f>COUNTIF(A:A,Table10[[#This Row],[Pcode]])-1</f>
        <v>0</v>
      </c>
    </row>
    <row r="139" spans="1:14" x14ac:dyDescent="0.25">
      <c r="A139" s="110"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16">
        <f ca="1">OFFSET(CampList[HH],MATCH(Table10[[#This Row],[Pcode]],CampList[CP_Pcode],0)-1,0,1,1)</f>
        <v>115</v>
      </c>
      <c r="F139" s="116">
        <f ca="1">OFFSET(CampList[Total],MATCH(Table10[[#This Row],[Pcode]],CampList[CP_Pcode],0)-1,0,1,1)</f>
        <v>460</v>
      </c>
      <c r="G139" s="116">
        <f>SUMIF('NFI Distributions'!AS$38:AS$1048576,Table10[[#This Row],[Pcode]],'NFI Distributions'!AK$38:AK$1048576)</f>
        <v>0</v>
      </c>
      <c r="H139" s="116">
        <f>SUMIF('NFI Distributions'!AS$38:AS$1048576,Table10[[#This Row],[Pcode]],'NFI Distributions'!AL$38:AL$1048576)</f>
        <v>0</v>
      </c>
      <c r="I139" s="116">
        <f>SUMIF('NFI Distributions'!AS$38:AS$1048576,Table10[[#This Row],[Pcode]],'NFI Distributions'!AM$38:AM$1048576)</f>
        <v>0</v>
      </c>
      <c r="J139" s="116">
        <f ca="1">MAX(Table10[[#This Row],[HH]]*VLOOKUP("Winter Clothes Adult",NFI,6)-Table10[[#This Row],[Winter Clothes Adult ]],0)</f>
        <v>230</v>
      </c>
      <c r="K139" s="116">
        <f ca="1">MAX(Table10[[#This Row],[HH]]*VLOOKUP("Winter Clothes Children ",NFI,6)-Table10[[#This Row],[Winter Clothes Children ]],0)</f>
        <v>115</v>
      </c>
      <c r="L139" s="116">
        <f ca="1">MAX(Table10[[#This Row],[HH]]*VLOOKUP("Winter Items Other ",NFI,6)-Table10[[#This Row],[Winter Items Other ]],0)</f>
        <v>115</v>
      </c>
      <c r="M139" s="129" t="str">
        <f>IF(OR(Table10[[#This Row],[Winter Clothes Adult ]]&lt;&gt;0,Table10[[#This Row],[Winter Clothes Children ]]&lt;&gt;0,Table10[[#This Row],[Winter Items Other ]]&lt;&gt;0),"No","")</f>
        <v/>
      </c>
      <c r="N139" s="130">
        <f>COUNTIF(A:A,Table10[[#This Row],[Pcode]])-1</f>
        <v>0</v>
      </c>
    </row>
    <row r="140" spans="1:14" x14ac:dyDescent="0.25">
      <c r="A140" s="110"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16">
        <f ca="1">OFFSET(CampList[HH],MATCH(Table10[[#This Row],[Pcode]],CampList[CP_Pcode],0)-1,0,1,1)</f>
        <v>64</v>
      </c>
      <c r="F140" s="116">
        <f ca="1">OFFSET(CampList[Total],MATCH(Table10[[#This Row],[Pcode]],CampList[CP_Pcode],0)-1,0,1,1)</f>
        <v>323</v>
      </c>
      <c r="G140" s="116">
        <f>SUMIF('NFI Distributions'!AS$38:AS$1048576,Table10[[#This Row],[Pcode]],'NFI Distributions'!AK$38:AK$1048576)</f>
        <v>0</v>
      </c>
      <c r="H140" s="116">
        <f>SUMIF('NFI Distributions'!AS$38:AS$1048576,Table10[[#This Row],[Pcode]],'NFI Distributions'!AL$38:AL$1048576)</f>
        <v>0</v>
      </c>
      <c r="I140" s="116">
        <f>SUMIF('NFI Distributions'!AS$38:AS$1048576,Table10[[#This Row],[Pcode]],'NFI Distributions'!AM$38:AM$1048576)</f>
        <v>0</v>
      </c>
      <c r="J140" s="116">
        <f ca="1">MAX(Table10[[#This Row],[HH]]*VLOOKUP("Winter Clothes Adult",NFI,6)-Table10[[#This Row],[Winter Clothes Adult ]],0)</f>
        <v>128</v>
      </c>
      <c r="K140" s="116">
        <f ca="1">MAX(Table10[[#This Row],[HH]]*VLOOKUP("Winter Clothes Children ",NFI,6)-Table10[[#This Row],[Winter Clothes Children ]],0)</f>
        <v>64</v>
      </c>
      <c r="L140" s="116">
        <f ca="1">MAX(Table10[[#This Row],[HH]]*VLOOKUP("Winter Items Other ",NFI,6)-Table10[[#This Row],[Winter Items Other ]],0)</f>
        <v>64</v>
      </c>
      <c r="M140" s="129" t="str">
        <f>IF(OR(Table10[[#This Row],[Winter Clothes Adult ]]&lt;&gt;0,Table10[[#This Row],[Winter Clothes Children ]]&lt;&gt;0,Table10[[#This Row],[Winter Items Other ]]&lt;&gt;0),"No","")</f>
        <v/>
      </c>
      <c r="N140" s="130">
        <f>COUNTIF(A:A,Table10[[#This Row],[Pcode]])-1</f>
        <v>0</v>
      </c>
    </row>
    <row r="141" spans="1:14" x14ac:dyDescent="0.25">
      <c r="A141" s="110"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16">
        <f ca="1">OFFSET(CampList[HH],MATCH(Table10[[#This Row],[Pcode]],CampList[CP_Pcode],0)-1,0,1,1)</f>
        <v>29</v>
      </c>
      <c r="F141" s="116">
        <f ca="1">OFFSET(CampList[Total],MATCH(Table10[[#This Row],[Pcode]],CampList[CP_Pcode],0)-1,0,1,1)</f>
        <v>160</v>
      </c>
      <c r="G141" s="116">
        <f>SUMIF('NFI Distributions'!AS$38:AS$1048576,Table10[[#This Row],[Pcode]],'NFI Distributions'!AK$38:AK$1048576)</f>
        <v>0</v>
      </c>
      <c r="H141" s="116">
        <f>SUMIF('NFI Distributions'!AS$38:AS$1048576,Table10[[#This Row],[Pcode]],'NFI Distributions'!AL$38:AL$1048576)</f>
        <v>0</v>
      </c>
      <c r="I141" s="116">
        <f>SUMIF('NFI Distributions'!AS$38:AS$1048576,Table10[[#This Row],[Pcode]],'NFI Distributions'!AM$38:AM$1048576)</f>
        <v>0</v>
      </c>
      <c r="J141" s="116">
        <f ca="1">MAX(Table10[[#This Row],[HH]]*VLOOKUP("Winter Clothes Adult",NFI,6)-Table10[[#This Row],[Winter Clothes Adult ]],0)</f>
        <v>58</v>
      </c>
      <c r="K141" s="116">
        <f ca="1">MAX(Table10[[#This Row],[HH]]*VLOOKUP("Winter Clothes Children ",NFI,6)-Table10[[#This Row],[Winter Clothes Children ]],0)</f>
        <v>29</v>
      </c>
      <c r="L141" s="116">
        <f ca="1">MAX(Table10[[#This Row],[HH]]*VLOOKUP("Winter Items Other ",NFI,6)-Table10[[#This Row],[Winter Items Other ]],0)</f>
        <v>29</v>
      </c>
      <c r="M141" s="129" t="str">
        <f>IF(OR(Table10[[#This Row],[Winter Clothes Adult ]]&lt;&gt;0,Table10[[#This Row],[Winter Clothes Children ]]&lt;&gt;0,Table10[[#This Row],[Winter Items Other ]]&lt;&gt;0),"No","")</f>
        <v/>
      </c>
      <c r="N141" s="130">
        <f>COUNTIF(A:A,Table10[[#This Row],[Pcode]])-1</f>
        <v>0</v>
      </c>
    </row>
    <row r="142" spans="1:14" x14ac:dyDescent="0.25">
      <c r="A142" s="110"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16">
        <f ca="1">OFFSET(CampList[HH],MATCH(Table10[[#This Row],[Pcode]],CampList[CP_Pcode],0)-1,0,1,1)</f>
        <v>90</v>
      </c>
      <c r="F142" s="116">
        <f ca="1">OFFSET(CampList[Total],MATCH(Table10[[#This Row],[Pcode]],CampList[CP_Pcode],0)-1,0,1,1)</f>
        <v>491</v>
      </c>
      <c r="G142" s="116">
        <f>SUMIF('NFI Distributions'!AS$38:AS$1048576,Table10[[#This Row],[Pcode]],'NFI Distributions'!AK$38:AK$1048576)</f>
        <v>0</v>
      </c>
      <c r="H142" s="116">
        <f>SUMIF('NFI Distributions'!AS$38:AS$1048576,Table10[[#This Row],[Pcode]],'NFI Distributions'!AL$38:AL$1048576)</f>
        <v>0</v>
      </c>
      <c r="I142" s="116">
        <f>SUMIF('NFI Distributions'!AS$38:AS$1048576,Table10[[#This Row],[Pcode]],'NFI Distributions'!AM$38:AM$1048576)</f>
        <v>0</v>
      </c>
      <c r="J142" s="116">
        <f ca="1">MAX(Table10[[#This Row],[HH]]*VLOOKUP("Winter Clothes Adult",NFI,6)-Table10[[#This Row],[Winter Clothes Adult ]],0)</f>
        <v>180</v>
      </c>
      <c r="K142" s="116">
        <f ca="1">MAX(Table10[[#This Row],[HH]]*VLOOKUP("Winter Clothes Children ",NFI,6)-Table10[[#This Row],[Winter Clothes Children ]],0)</f>
        <v>90</v>
      </c>
      <c r="L142" s="116">
        <f ca="1">MAX(Table10[[#This Row],[HH]]*VLOOKUP("Winter Items Other ",NFI,6)-Table10[[#This Row],[Winter Items Other ]],0)</f>
        <v>90</v>
      </c>
      <c r="M142" s="129" t="str">
        <f>IF(OR(Table10[[#This Row],[Winter Clothes Adult ]]&lt;&gt;0,Table10[[#This Row],[Winter Clothes Children ]]&lt;&gt;0,Table10[[#This Row],[Winter Items Other ]]&lt;&gt;0),"No","")</f>
        <v/>
      </c>
      <c r="N142" s="130">
        <f>COUNTIF(A:A,Table10[[#This Row],[Pcode]])-1</f>
        <v>0</v>
      </c>
    </row>
    <row r="143" spans="1:14" x14ac:dyDescent="0.25">
      <c r="A143" s="110"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16">
        <f ca="1">OFFSET(CampList[HH],MATCH(Table10[[#This Row],[Pcode]],CampList[CP_Pcode],0)-1,0,1,1)</f>
        <v>11</v>
      </c>
      <c r="F143" s="116">
        <f ca="1">OFFSET(CampList[Total],MATCH(Table10[[#This Row],[Pcode]],CampList[CP_Pcode],0)-1,0,1,1)</f>
        <v>36</v>
      </c>
      <c r="G143" s="116">
        <f>SUMIF('NFI Distributions'!AS$38:AS$1048576,Table10[[#This Row],[Pcode]],'NFI Distributions'!AK$38:AK$1048576)</f>
        <v>0</v>
      </c>
      <c r="H143" s="116">
        <f>SUMIF('NFI Distributions'!AS$38:AS$1048576,Table10[[#This Row],[Pcode]],'NFI Distributions'!AL$38:AL$1048576)</f>
        <v>0</v>
      </c>
      <c r="I143" s="116">
        <f>SUMIF('NFI Distributions'!AS$38:AS$1048576,Table10[[#This Row],[Pcode]],'NFI Distributions'!AM$38:AM$1048576)</f>
        <v>0</v>
      </c>
      <c r="J143" s="116">
        <f ca="1">MAX(Table10[[#This Row],[HH]]*VLOOKUP("Winter Clothes Adult",NFI,6)-Table10[[#This Row],[Winter Clothes Adult ]],0)</f>
        <v>22</v>
      </c>
      <c r="K143" s="116">
        <f ca="1">MAX(Table10[[#This Row],[HH]]*VLOOKUP("Winter Clothes Children ",NFI,6)-Table10[[#This Row],[Winter Clothes Children ]],0)</f>
        <v>11</v>
      </c>
      <c r="L143" s="116">
        <f ca="1">MAX(Table10[[#This Row],[HH]]*VLOOKUP("Winter Items Other ",NFI,6)-Table10[[#This Row],[Winter Items Other ]],0)</f>
        <v>11</v>
      </c>
      <c r="M143" s="129" t="str">
        <f>IF(OR(Table10[[#This Row],[Winter Clothes Adult ]]&lt;&gt;0,Table10[[#This Row],[Winter Clothes Children ]]&lt;&gt;0,Table10[[#This Row],[Winter Items Other ]]&lt;&gt;0),"No","")</f>
        <v/>
      </c>
      <c r="N143" s="130">
        <f>COUNTIF(A:A,Table10[[#This Row],[Pcode]])-1</f>
        <v>0</v>
      </c>
    </row>
    <row r="144" spans="1:14" x14ac:dyDescent="0.25">
      <c r="A144" s="110"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16">
        <f ca="1">OFFSET(CampList[HH],MATCH(Table10[[#This Row],[Pcode]],CampList[CP_Pcode],0)-1,0,1,1)</f>
        <v>638</v>
      </c>
      <c r="F144" s="116">
        <f ca="1">OFFSET(CampList[Total],MATCH(Table10[[#This Row],[Pcode]],CampList[CP_Pcode],0)-1,0,1,1)</f>
        <v>3971</v>
      </c>
      <c r="G144" s="116">
        <f>SUMIF('NFI Distributions'!AS$38:AS$1048576,Table10[[#This Row],[Pcode]],'NFI Distributions'!AK$38:AK$1048576)</f>
        <v>0</v>
      </c>
      <c r="H144" s="116">
        <f>SUMIF('NFI Distributions'!AS$38:AS$1048576,Table10[[#This Row],[Pcode]],'NFI Distributions'!AL$38:AL$1048576)</f>
        <v>0</v>
      </c>
      <c r="I144" s="116">
        <f>SUMIF('NFI Distributions'!AS$38:AS$1048576,Table10[[#This Row],[Pcode]],'NFI Distributions'!AM$38:AM$1048576)</f>
        <v>0</v>
      </c>
      <c r="J144" s="116">
        <f ca="1">MAX(Table10[[#This Row],[HH]]*VLOOKUP("Winter Clothes Adult",NFI,6)-Table10[[#This Row],[Winter Clothes Adult ]],0)</f>
        <v>1276</v>
      </c>
      <c r="K144" s="116">
        <f ca="1">MAX(Table10[[#This Row],[HH]]*VLOOKUP("Winter Clothes Children ",NFI,6)-Table10[[#This Row],[Winter Clothes Children ]],0)</f>
        <v>638</v>
      </c>
      <c r="L144" s="116">
        <f ca="1">MAX(Table10[[#This Row],[HH]]*VLOOKUP("Winter Items Other ",NFI,6)-Table10[[#This Row],[Winter Items Other ]],0)</f>
        <v>638</v>
      </c>
      <c r="M144" s="129" t="str">
        <f>IF(OR(Table10[[#This Row],[Winter Clothes Adult ]]&lt;&gt;0,Table10[[#This Row],[Winter Clothes Children ]]&lt;&gt;0,Table10[[#This Row],[Winter Items Other ]]&lt;&gt;0),"No","")</f>
        <v/>
      </c>
      <c r="N144" s="130">
        <f>COUNTIF(A:A,Table10[[#This Row],[Pcode]])-1</f>
        <v>0</v>
      </c>
    </row>
    <row r="145" spans="1:14" x14ac:dyDescent="0.25">
      <c r="A145" s="110"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16">
        <f ca="1">OFFSET(CampList[HH],MATCH(Table10[[#This Row],[Pcode]],CampList[CP_Pcode],0)-1,0,1,1)</f>
        <v>8</v>
      </c>
      <c r="F145" s="116">
        <f ca="1">OFFSET(CampList[Total],MATCH(Table10[[#This Row],[Pcode]],CampList[CP_Pcode],0)-1,0,1,1)</f>
        <v>32</v>
      </c>
      <c r="G145" s="116">
        <f>SUMIF('NFI Distributions'!AS$38:AS$1048576,Table10[[#This Row],[Pcode]],'NFI Distributions'!AK$38:AK$1048576)</f>
        <v>0</v>
      </c>
      <c r="H145" s="116">
        <f>SUMIF('NFI Distributions'!AS$38:AS$1048576,Table10[[#This Row],[Pcode]],'NFI Distributions'!AL$38:AL$1048576)</f>
        <v>0</v>
      </c>
      <c r="I145" s="116">
        <f>SUMIF('NFI Distributions'!AS$38:AS$1048576,Table10[[#This Row],[Pcode]],'NFI Distributions'!AM$38:AM$1048576)</f>
        <v>0</v>
      </c>
      <c r="J145" s="116">
        <f ca="1">MAX(Table10[[#This Row],[HH]]*VLOOKUP("Winter Clothes Adult",NFI,6)-Table10[[#This Row],[Winter Clothes Adult ]],0)</f>
        <v>16</v>
      </c>
      <c r="K145" s="116">
        <f ca="1">MAX(Table10[[#This Row],[HH]]*VLOOKUP("Winter Clothes Children ",NFI,6)-Table10[[#This Row],[Winter Clothes Children ]],0)</f>
        <v>8</v>
      </c>
      <c r="L145" s="116">
        <f ca="1">MAX(Table10[[#This Row],[HH]]*VLOOKUP("Winter Items Other ",NFI,6)-Table10[[#This Row],[Winter Items Other ]],0)</f>
        <v>8</v>
      </c>
      <c r="M145" s="129" t="str">
        <f>IF(OR(Table10[[#This Row],[Winter Clothes Adult ]]&lt;&gt;0,Table10[[#This Row],[Winter Clothes Children ]]&lt;&gt;0,Table10[[#This Row],[Winter Items Other ]]&lt;&gt;0),"No","")</f>
        <v/>
      </c>
      <c r="N145" s="130">
        <f>COUNTIF(A:A,Table10[[#This Row],[Pcode]])-1</f>
        <v>0</v>
      </c>
    </row>
    <row r="146" spans="1:14" x14ac:dyDescent="0.25">
      <c r="A146" s="110"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16">
        <f ca="1">OFFSET(CampList[HH],MATCH(Table10[[#This Row],[Pcode]],CampList[CP_Pcode],0)-1,0,1,1)</f>
        <v>121</v>
      </c>
      <c r="F146" s="116">
        <f ca="1">OFFSET(CampList[Total],MATCH(Table10[[#This Row],[Pcode]],CampList[CP_Pcode],0)-1,0,1,1)</f>
        <v>556</v>
      </c>
      <c r="G146" s="116">
        <f>SUMIF('NFI Distributions'!AS$38:AS$1048576,Table10[[#This Row],[Pcode]],'NFI Distributions'!AK$38:AK$1048576)</f>
        <v>0</v>
      </c>
      <c r="H146" s="116">
        <f>SUMIF('NFI Distributions'!AS$38:AS$1048576,Table10[[#This Row],[Pcode]],'NFI Distributions'!AL$38:AL$1048576)</f>
        <v>0</v>
      </c>
      <c r="I146" s="116">
        <f>SUMIF('NFI Distributions'!AS$38:AS$1048576,Table10[[#This Row],[Pcode]],'NFI Distributions'!AM$38:AM$1048576)</f>
        <v>0</v>
      </c>
      <c r="J146" s="116">
        <f ca="1">MAX(Table10[[#This Row],[HH]]*VLOOKUP("Winter Clothes Adult",NFI,6)-Table10[[#This Row],[Winter Clothes Adult ]],0)</f>
        <v>242</v>
      </c>
      <c r="K146" s="116">
        <f ca="1">MAX(Table10[[#This Row],[HH]]*VLOOKUP("Winter Clothes Children ",NFI,6)-Table10[[#This Row],[Winter Clothes Children ]],0)</f>
        <v>121</v>
      </c>
      <c r="L146" s="116">
        <f ca="1">MAX(Table10[[#This Row],[HH]]*VLOOKUP("Winter Items Other ",NFI,6)-Table10[[#This Row],[Winter Items Other ]],0)</f>
        <v>121</v>
      </c>
      <c r="M146" s="129" t="str">
        <f>IF(OR(Table10[[#This Row],[Winter Clothes Adult ]]&lt;&gt;0,Table10[[#This Row],[Winter Clothes Children ]]&lt;&gt;0,Table10[[#This Row],[Winter Items Other ]]&lt;&gt;0),"No","")</f>
        <v/>
      </c>
      <c r="N146" s="130">
        <f>COUNTIF(A:A,Table10[[#This Row],[Pcode]])-1</f>
        <v>0</v>
      </c>
    </row>
    <row r="147" spans="1:14" x14ac:dyDescent="0.25">
      <c r="A147" s="110"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16">
        <f ca="1">OFFSET(CampList[HH],MATCH(Table10[[#This Row],[Pcode]],CampList[CP_Pcode],0)-1,0,1,1)</f>
        <v>23</v>
      </c>
      <c r="F147" s="116">
        <f ca="1">OFFSET(CampList[Total],MATCH(Table10[[#This Row],[Pcode]],CampList[CP_Pcode],0)-1,0,1,1)</f>
        <v>114</v>
      </c>
      <c r="G147" s="116">
        <f>SUMIF('NFI Distributions'!AS$38:AS$1048576,Table10[[#This Row],[Pcode]],'NFI Distributions'!AK$38:AK$1048576)</f>
        <v>0</v>
      </c>
      <c r="H147" s="116">
        <f>SUMIF('NFI Distributions'!AS$38:AS$1048576,Table10[[#This Row],[Pcode]],'NFI Distributions'!AL$38:AL$1048576)</f>
        <v>0</v>
      </c>
      <c r="I147" s="116">
        <f>SUMIF('NFI Distributions'!AS$38:AS$1048576,Table10[[#This Row],[Pcode]],'NFI Distributions'!AM$38:AM$1048576)</f>
        <v>0</v>
      </c>
      <c r="J147" s="116">
        <f ca="1">MAX(Table10[[#This Row],[HH]]*VLOOKUP("Winter Clothes Adult",NFI,6)-Table10[[#This Row],[Winter Clothes Adult ]],0)</f>
        <v>46</v>
      </c>
      <c r="K147" s="116">
        <f ca="1">MAX(Table10[[#This Row],[HH]]*VLOOKUP("Winter Clothes Children ",NFI,6)-Table10[[#This Row],[Winter Clothes Children ]],0)</f>
        <v>23</v>
      </c>
      <c r="L147" s="116">
        <f ca="1">MAX(Table10[[#This Row],[HH]]*VLOOKUP("Winter Items Other ",NFI,6)-Table10[[#This Row],[Winter Items Other ]],0)</f>
        <v>23</v>
      </c>
      <c r="M147" s="129" t="str">
        <f>IF(OR(Table10[[#This Row],[Winter Clothes Adult ]]&lt;&gt;0,Table10[[#This Row],[Winter Clothes Children ]]&lt;&gt;0,Table10[[#This Row],[Winter Items Other ]]&lt;&gt;0),"No","")</f>
        <v/>
      </c>
      <c r="N147" s="130">
        <f>COUNTIF(A:A,Table10[[#This Row],[Pcode]])-1</f>
        <v>0</v>
      </c>
    </row>
    <row r="148" spans="1:14" x14ac:dyDescent="0.25">
      <c r="A148" s="110"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16">
        <f ca="1">OFFSET(CampList[HH],MATCH(Table10[[#This Row],[Pcode]],CampList[CP_Pcode],0)-1,0,1,1)</f>
        <v>86</v>
      </c>
      <c r="F148" s="116">
        <f ca="1">OFFSET(CampList[Total],MATCH(Table10[[#This Row],[Pcode]],CampList[CP_Pcode],0)-1,0,1,1)</f>
        <v>309</v>
      </c>
      <c r="G148" s="116">
        <f>SUMIF('NFI Distributions'!AS$38:AS$1048576,Table10[[#This Row],[Pcode]],'NFI Distributions'!AK$38:AK$1048576)</f>
        <v>0</v>
      </c>
      <c r="H148" s="116">
        <f>SUMIF('NFI Distributions'!AS$38:AS$1048576,Table10[[#This Row],[Pcode]],'NFI Distributions'!AL$38:AL$1048576)</f>
        <v>0</v>
      </c>
      <c r="I148" s="116">
        <f>SUMIF('NFI Distributions'!AS$38:AS$1048576,Table10[[#This Row],[Pcode]],'NFI Distributions'!AM$38:AM$1048576)</f>
        <v>0</v>
      </c>
      <c r="J148" s="116">
        <f ca="1">MAX(Table10[[#This Row],[HH]]*VLOOKUP("Winter Clothes Adult",NFI,6)-Table10[[#This Row],[Winter Clothes Adult ]],0)</f>
        <v>172</v>
      </c>
      <c r="K148" s="116">
        <f ca="1">MAX(Table10[[#This Row],[HH]]*VLOOKUP("Winter Clothes Children ",NFI,6)-Table10[[#This Row],[Winter Clothes Children ]],0)</f>
        <v>86</v>
      </c>
      <c r="L148" s="116">
        <f ca="1">MAX(Table10[[#This Row],[HH]]*VLOOKUP("Winter Items Other ",NFI,6)-Table10[[#This Row],[Winter Items Other ]],0)</f>
        <v>86</v>
      </c>
      <c r="M148" s="129" t="str">
        <f>IF(OR(Table10[[#This Row],[Winter Clothes Adult ]]&lt;&gt;0,Table10[[#This Row],[Winter Clothes Children ]]&lt;&gt;0,Table10[[#This Row],[Winter Items Other ]]&lt;&gt;0),"No","")</f>
        <v/>
      </c>
      <c r="N148" s="130">
        <f>COUNTIF(A:A,Table10[[#This Row],[Pcode]])-1</f>
        <v>0</v>
      </c>
    </row>
    <row r="149" spans="1:14" x14ac:dyDescent="0.25">
      <c r="A149" s="110"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16">
        <f ca="1">OFFSET(CampList[HH],MATCH(Table10[[#This Row],[Pcode]],CampList[CP_Pcode],0)-1,0,1,1)</f>
        <v>46</v>
      </c>
      <c r="F149" s="116">
        <f ca="1">OFFSET(CampList[Total],MATCH(Table10[[#This Row],[Pcode]],CampList[CP_Pcode],0)-1,0,1,1)</f>
        <v>177</v>
      </c>
      <c r="G149" s="116">
        <f>SUMIF('NFI Distributions'!AS$38:AS$1048576,Table10[[#This Row],[Pcode]],'NFI Distributions'!AK$38:AK$1048576)</f>
        <v>0</v>
      </c>
      <c r="H149" s="116">
        <f>SUMIF('NFI Distributions'!AS$38:AS$1048576,Table10[[#This Row],[Pcode]],'NFI Distributions'!AL$38:AL$1048576)</f>
        <v>0</v>
      </c>
      <c r="I149" s="116">
        <f>SUMIF('NFI Distributions'!AS$38:AS$1048576,Table10[[#This Row],[Pcode]],'NFI Distributions'!AM$38:AM$1048576)</f>
        <v>0</v>
      </c>
      <c r="J149" s="116">
        <f ca="1">MAX(Table10[[#This Row],[HH]]*VLOOKUP("Winter Clothes Adult",NFI,6)-Table10[[#This Row],[Winter Clothes Adult ]],0)</f>
        <v>92</v>
      </c>
      <c r="K149" s="116">
        <f ca="1">MAX(Table10[[#This Row],[HH]]*VLOOKUP("Winter Clothes Children ",NFI,6)-Table10[[#This Row],[Winter Clothes Children ]],0)</f>
        <v>46</v>
      </c>
      <c r="L149" s="116">
        <f ca="1">MAX(Table10[[#This Row],[HH]]*VLOOKUP("Winter Items Other ",NFI,6)-Table10[[#This Row],[Winter Items Other ]],0)</f>
        <v>46</v>
      </c>
      <c r="M149" s="129" t="str">
        <f>IF(OR(Table10[[#This Row],[Winter Clothes Adult ]]&lt;&gt;0,Table10[[#This Row],[Winter Clothes Children ]]&lt;&gt;0,Table10[[#This Row],[Winter Items Other ]]&lt;&gt;0),"No","")</f>
        <v/>
      </c>
      <c r="N149" s="130">
        <f>COUNTIF(A:A,Table10[[#This Row],[Pcode]])-1</f>
        <v>0</v>
      </c>
    </row>
    <row r="150" spans="1:14" x14ac:dyDescent="0.25">
      <c r="A150" s="110"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16">
        <f ca="1">OFFSET(CampList[HH],MATCH(Table10[[#This Row],[Pcode]],CampList[CP_Pcode],0)-1,0,1,1)</f>
        <v>91</v>
      </c>
      <c r="F150" s="116">
        <f ca="1">OFFSET(CampList[Total],MATCH(Table10[[#This Row],[Pcode]],CampList[CP_Pcode],0)-1,0,1,1)</f>
        <v>501</v>
      </c>
      <c r="G150" s="116">
        <f>SUMIF('NFI Distributions'!AS$38:AS$1048576,Table10[[#This Row],[Pcode]],'NFI Distributions'!AK$38:AK$1048576)</f>
        <v>0</v>
      </c>
      <c r="H150" s="116">
        <f>SUMIF('NFI Distributions'!AS$38:AS$1048576,Table10[[#This Row],[Pcode]],'NFI Distributions'!AL$38:AL$1048576)</f>
        <v>0</v>
      </c>
      <c r="I150" s="116">
        <f>SUMIF('NFI Distributions'!AS$38:AS$1048576,Table10[[#This Row],[Pcode]],'NFI Distributions'!AM$38:AM$1048576)</f>
        <v>0</v>
      </c>
      <c r="J150" s="116">
        <f ca="1">MAX(Table10[[#This Row],[HH]]*VLOOKUP("Winter Clothes Adult",NFI,6)-Table10[[#This Row],[Winter Clothes Adult ]],0)</f>
        <v>182</v>
      </c>
      <c r="K150" s="116">
        <f ca="1">MAX(Table10[[#This Row],[HH]]*VLOOKUP("Winter Clothes Children ",NFI,6)-Table10[[#This Row],[Winter Clothes Children ]],0)</f>
        <v>91</v>
      </c>
      <c r="L150" s="116">
        <f ca="1">MAX(Table10[[#This Row],[HH]]*VLOOKUP("Winter Items Other ",NFI,6)-Table10[[#This Row],[Winter Items Other ]],0)</f>
        <v>91</v>
      </c>
      <c r="M150" s="129" t="str">
        <f>IF(OR(Table10[[#This Row],[Winter Clothes Adult ]]&lt;&gt;0,Table10[[#This Row],[Winter Clothes Children ]]&lt;&gt;0,Table10[[#This Row],[Winter Items Other ]]&lt;&gt;0),"No","")</f>
        <v/>
      </c>
      <c r="N150" s="130">
        <f>COUNTIF(A:A,Table10[[#This Row],[Pcode]])-1</f>
        <v>0</v>
      </c>
    </row>
    <row r="151" spans="1:14" x14ac:dyDescent="0.25">
      <c r="A151" s="110"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16">
        <f ca="1">OFFSET(CampList[HH],MATCH(Table10[[#This Row],[Pcode]],CampList[CP_Pcode],0)-1,0,1,1)</f>
        <v>11</v>
      </c>
      <c r="F151" s="116">
        <f ca="1">OFFSET(CampList[Total],MATCH(Table10[[#This Row],[Pcode]],CampList[CP_Pcode],0)-1,0,1,1)</f>
        <v>51</v>
      </c>
      <c r="G151" s="116">
        <f>SUMIF('NFI Distributions'!AS$38:AS$1048576,Table10[[#This Row],[Pcode]],'NFI Distributions'!AK$38:AK$1048576)</f>
        <v>0</v>
      </c>
      <c r="H151" s="116">
        <f>SUMIF('NFI Distributions'!AS$38:AS$1048576,Table10[[#This Row],[Pcode]],'NFI Distributions'!AL$38:AL$1048576)</f>
        <v>0</v>
      </c>
      <c r="I151" s="116">
        <f>SUMIF('NFI Distributions'!AS$38:AS$1048576,Table10[[#This Row],[Pcode]],'NFI Distributions'!AM$38:AM$1048576)</f>
        <v>0</v>
      </c>
      <c r="J151" s="116">
        <f ca="1">MAX(Table10[[#This Row],[HH]]*VLOOKUP("Winter Clothes Adult",NFI,6)-Table10[[#This Row],[Winter Clothes Adult ]],0)</f>
        <v>22</v>
      </c>
      <c r="K151" s="116">
        <f ca="1">MAX(Table10[[#This Row],[HH]]*VLOOKUP("Winter Clothes Children ",NFI,6)-Table10[[#This Row],[Winter Clothes Children ]],0)</f>
        <v>11</v>
      </c>
      <c r="L151" s="116">
        <f ca="1">MAX(Table10[[#This Row],[HH]]*VLOOKUP("Winter Items Other ",NFI,6)-Table10[[#This Row],[Winter Items Other ]],0)</f>
        <v>11</v>
      </c>
      <c r="M151" s="129" t="str">
        <f>IF(OR(Table10[[#This Row],[Winter Clothes Adult ]]&lt;&gt;0,Table10[[#This Row],[Winter Clothes Children ]]&lt;&gt;0,Table10[[#This Row],[Winter Items Other ]]&lt;&gt;0),"No","")</f>
        <v/>
      </c>
      <c r="N151" s="130">
        <f>COUNTIF(A:A,Table10[[#This Row],[Pcode]])-1</f>
        <v>0</v>
      </c>
    </row>
    <row r="152" spans="1:14" x14ac:dyDescent="0.25">
      <c r="A152" s="110" t="s">
        <v>752</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16">
        <f ca="1">OFFSET(CampList[HH],MATCH(Table10[[#This Row],[Pcode]],CampList[CP_Pcode],0)-1,0,1,1)</f>
        <v>5</v>
      </c>
      <c r="F152" s="116">
        <f ca="1">OFFSET(CampList[Total],MATCH(Table10[[#This Row],[Pcode]],CampList[CP_Pcode],0)-1,0,1,1)</f>
        <v>32</v>
      </c>
      <c r="G152" s="116">
        <f>SUMIF('NFI Distributions'!AS$38:AS$1048576,Table10[[#This Row],[Pcode]],'NFI Distributions'!AK$38:AK$1048576)</f>
        <v>0</v>
      </c>
      <c r="H152" s="116">
        <f>SUMIF('NFI Distributions'!AS$38:AS$1048576,Table10[[#This Row],[Pcode]],'NFI Distributions'!AL$38:AL$1048576)</f>
        <v>0</v>
      </c>
      <c r="I152" s="116">
        <f>SUMIF('NFI Distributions'!AS$38:AS$1048576,Table10[[#This Row],[Pcode]],'NFI Distributions'!AM$38:AM$1048576)</f>
        <v>0</v>
      </c>
      <c r="J152" s="116">
        <f ca="1">MAX(Table10[[#This Row],[HH]]*VLOOKUP("Winter Clothes Adult",NFI,6)-Table10[[#This Row],[Winter Clothes Adult ]],0)</f>
        <v>10</v>
      </c>
      <c r="K152" s="116">
        <f ca="1">MAX(Table10[[#This Row],[HH]]*VLOOKUP("Winter Clothes Children ",NFI,6)-Table10[[#This Row],[Winter Clothes Children ]],0)</f>
        <v>5</v>
      </c>
      <c r="L152" s="116">
        <f ca="1">MAX(Table10[[#This Row],[HH]]*VLOOKUP("Winter Items Other ",NFI,6)-Table10[[#This Row],[Winter Items Other ]],0)</f>
        <v>5</v>
      </c>
      <c r="M152" s="129" t="str">
        <f>IF(OR(Table10[[#This Row],[Winter Clothes Adult ]]&lt;&gt;0,Table10[[#This Row],[Winter Clothes Children ]]&lt;&gt;0,Table10[[#This Row],[Winter Items Other ]]&lt;&gt;0),"No","")</f>
        <v/>
      </c>
      <c r="N152" s="130">
        <f>COUNTIF(A:A,Table10[[#This Row],[Pcode]])-1</f>
        <v>0</v>
      </c>
    </row>
    <row r="153" spans="1:14" x14ac:dyDescent="0.25">
      <c r="A153" s="110"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16">
        <f ca="1">OFFSET(CampList[HH],MATCH(Table10[[#This Row],[Pcode]],CampList[CP_Pcode],0)-1,0,1,1)</f>
        <v>20</v>
      </c>
      <c r="F153" s="116">
        <f ca="1">OFFSET(CampList[Total],MATCH(Table10[[#This Row],[Pcode]],CampList[CP_Pcode],0)-1,0,1,1)</f>
        <v>95</v>
      </c>
      <c r="G153" s="116">
        <f>SUMIF('NFI Distributions'!AS$38:AS$1048576,Table10[[#This Row],[Pcode]],'NFI Distributions'!AK$38:AK$1048576)</f>
        <v>0</v>
      </c>
      <c r="H153" s="116">
        <f>SUMIF('NFI Distributions'!AS$38:AS$1048576,Table10[[#This Row],[Pcode]],'NFI Distributions'!AL$38:AL$1048576)</f>
        <v>0</v>
      </c>
      <c r="I153" s="116">
        <f>SUMIF('NFI Distributions'!AS$38:AS$1048576,Table10[[#This Row],[Pcode]],'NFI Distributions'!AM$38:AM$1048576)</f>
        <v>0</v>
      </c>
      <c r="J153" s="116">
        <f ca="1">MAX(Table10[[#This Row],[HH]]*VLOOKUP("Winter Clothes Adult",NFI,6)-Table10[[#This Row],[Winter Clothes Adult ]],0)</f>
        <v>40</v>
      </c>
      <c r="K153" s="116">
        <f ca="1">MAX(Table10[[#This Row],[HH]]*VLOOKUP("Winter Clothes Children ",NFI,6)-Table10[[#This Row],[Winter Clothes Children ]],0)</f>
        <v>20</v>
      </c>
      <c r="L153" s="116">
        <f ca="1">MAX(Table10[[#This Row],[HH]]*VLOOKUP("Winter Items Other ",NFI,6)-Table10[[#This Row],[Winter Items Other ]],0)</f>
        <v>20</v>
      </c>
      <c r="M153" s="129" t="str">
        <f>IF(OR(Table10[[#This Row],[Winter Clothes Adult ]]&lt;&gt;0,Table10[[#This Row],[Winter Clothes Children ]]&lt;&gt;0,Table10[[#This Row],[Winter Items Other ]]&lt;&gt;0),"No","")</f>
        <v/>
      </c>
      <c r="N153" s="130">
        <f>COUNTIF(A:A,Table10[[#This Row],[Pcode]])-1</f>
        <v>0</v>
      </c>
    </row>
    <row r="154" spans="1:14" x14ac:dyDescent="0.25">
      <c r="A154" s="110"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16">
        <f ca="1">OFFSET(CampList[HH],MATCH(Table10[[#This Row],[Pcode]],CampList[CP_Pcode],0)-1,0,1,1)</f>
        <v>0</v>
      </c>
      <c r="F154" s="116">
        <f ca="1">OFFSET(CampList[Total],MATCH(Table10[[#This Row],[Pcode]],CampList[CP_Pcode],0)-1,0,1,1)</f>
        <v>0</v>
      </c>
      <c r="G154" s="116">
        <f>SUMIF('NFI Distributions'!AS$38:AS$1048576,Table10[[#This Row],[Pcode]],'NFI Distributions'!AK$38:AK$1048576)</f>
        <v>0</v>
      </c>
      <c r="H154" s="116">
        <f>SUMIF('NFI Distributions'!AS$38:AS$1048576,Table10[[#This Row],[Pcode]],'NFI Distributions'!AL$38:AL$1048576)</f>
        <v>0</v>
      </c>
      <c r="I154" s="116">
        <f>SUMIF('NFI Distributions'!AS$38:AS$1048576,Table10[[#This Row],[Pcode]],'NFI Distributions'!AM$38:AM$1048576)</f>
        <v>0</v>
      </c>
      <c r="J154" s="116">
        <f ca="1">MAX(Table10[[#This Row],[HH]]*VLOOKUP("Winter Clothes Adult",NFI,6)-Table10[[#This Row],[Winter Clothes Adult ]],0)</f>
        <v>0</v>
      </c>
      <c r="K154" s="116">
        <f ca="1">MAX(Table10[[#This Row],[HH]]*VLOOKUP("Winter Clothes Children ",NFI,6)-Table10[[#This Row],[Winter Clothes Children ]],0)</f>
        <v>0</v>
      </c>
      <c r="L154" s="116">
        <f ca="1">MAX(Table10[[#This Row],[HH]]*VLOOKUP("Winter Items Other ",NFI,6)-Table10[[#This Row],[Winter Items Other ]],0)</f>
        <v>0</v>
      </c>
      <c r="M154" s="129" t="str">
        <f>IF(OR(Table10[[#This Row],[Winter Clothes Adult ]]&lt;&gt;0,Table10[[#This Row],[Winter Clothes Children ]]&lt;&gt;0,Table10[[#This Row],[Winter Items Other ]]&lt;&gt;0),"No","")</f>
        <v/>
      </c>
      <c r="N154" s="130">
        <f>COUNTIF(A:A,Table10[[#This Row],[Pcode]])-1</f>
        <v>0</v>
      </c>
    </row>
    <row r="155" spans="1:14" x14ac:dyDescent="0.25">
      <c r="A155" s="110"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16">
        <f ca="1">OFFSET(CampList[HH],MATCH(Table10[[#This Row],[Pcode]],CampList[CP_Pcode],0)-1,0,1,1)</f>
        <v>69</v>
      </c>
      <c r="F155" s="116">
        <f ca="1">OFFSET(CampList[Total],MATCH(Table10[[#This Row],[Pcode]],CampList[CP_Pcode],0)-1,0,1,1)</f>
        <v>366</v>
      </c>
      <c r="G155" s="116">
        <f>SUMIF('NFI Distributions'!AS$38:AS$1048576,Table10[[#This Row],[Pcode]],'NFI Distributions'!AK$38:AK$1048576)</f>
        <v>0</v>
      </c>
      <c r="H155" s="116">
        <f>SUMIF('NFI Distributions'!AS$38:AS$1048576,Table10[[#This Row],[Pcode]],'NFI Distributions'!AL$38:AL$1048576)</f>
        <v>0</v>
      </c>
      <c r="I155" s="116">
        <f>SUMIF('NFI Distributions'!AS$38:AS$1048576,Table10[[#This Row],[Pcode]],'NFI Distributions'!AM$38:AM$1048576)</f>
        <v>0</v>
      </c>
      <c r="J155" s="116">
        <f ca="1">MAX(Table10[[#This Row],[HH]]*VLOOKUP("Winter Clothes Adult",NFI,6)-Table10[[#This Row],[Winter Clothes Adult ]],0)</f>
        <v>138</v>
      </c>
      <c r="K155" s="116">
        <f ca="1">MAX(Table10[[#This Row],[HH]]*VLOOKUP("Winter Clothes Children ",NFI,6)-Table10[[#This Row],[Winter Clothes Children ]],0)</f>
        <v>69</v>
      </c>
      <c r="L155" s="116">
        <f ca="1">MAX(Table10[[#This Row],[HH]]*VLOOKUP("Winter Items Other ",NFI,6)-Table10[[#This Row],[Winter Items Other ]],0)</f>
        <v>69</v>
      </c>
      <c r="M155" s="129" t="str">
        <f>IF(OR(Table10[[#This Row],[Winter Clothes Adult ]]&lt;&gt;0,Table10[[#This Row],[Winter Clothes Children ]]&lt;&gt;0,Table10[[#This Row],[Winter Items Other ]]&lt;&gt;0),"No","")</f>
        <v/>
      </c>
      <c r="N155" s="130">
        <f>COUNTIF(A:A,Table10[[#This Row],[Pcode]])-1</f>
        <v>0</v>
      </c>
    </row>
    <row r="156" spans="1:14" x14ac:dyDescent="0.25">
      <c r="A156" s="110"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16">
        <f ca="1">OFFSET(CampList[HH],MATCH(Table10[[#This Row],[Pcode]],CampList[CP_Pcode],0)-1,0,1,1)</f>
        <v>54</v>
      </c>
      <c r="F156" s="116">
        <f ca="1">OFFSET(CampList[Total],MATCH(Table10[[#This Row],[Pcode]],CampList[CP_Pcode],0)-1,0,1,1)</f>
        <v>264</v>
      </c>
      <c r="G156" s="116">
        <f>SUMIF('NFI Distributions'!AS$38:AS$1048576,Table10[[#This Row],[Pcode]],'NFI Distributions'!AK$38:AK$1048576)</f>
        <v>0</v>
      </c>
      <c r="H156" s="116">
        <f>SUMIF('NFI Distributions'!AS$38:AS$1048576,Table10[[#This Row],[Pcode]],'NFI Distributions'!AL$38:AL$1048576)</f>
        <v>0</v>
      </c>
      <c r="I156" s="116">
        <f>SUMIF('NFI Distributions'!AS$38:AS$1048576,Table10[[#This Row],[Pcode]],'NFI Distributions'!AM$38:AM$1048576)</f>
        <v>0</v>
      </c>
      <c r="J156" s="116">
        <f ca="1">MAX(Table10[[#This Row],[HH]]*VLOOKUP("Winter Clothes Adult",NFI,6)-Table10[[#This Row],[Winter Clothes Adult ]],0)</f>
        <v>108</v>
      </c>
      <c r="K156" s="116">
        <f ca="1">MAX(Table10[[#This Row],[HH]]*VLOOKUP("Winter Clothes Children ",NFI,6)-Table10[[#This Row],[Winter Clothes Children ]],0)</f>
        <v>54</v>
      </c>
      <c r="L156" s="116">
        <f ca="1">MAX(Table10[[#This Row],[HH]]*VLOOKUP("Winter Items Other ",NFI,6)-Table10[[#This Row],[Winter Items Other ]],0)</f>
        <v>54</v>
      </c>
      <c r="M156" s="129" t="str">
        <f>IF(OR(Table10[[#This Row],[Winter Clothes Adult ]]&lt;&gt;0,Table10[[#This Row],[Winter Clothes Children ]]&lt;&gt;0,Table10[[#This Row],[Winter Items Other ]]&lt;&gt;0),"No","")</f>
        <v/>
      </c>
      <c r="N156" s="130">
        <f>COUNTIF(A:A,Table10[[#This Row],[Pcode]])-1</f>
        <v>0</v>
      </c>
    </row>
    <row r="157" spans="1:14" x14ac:dyDescent="0.25">
      <c r="A157" s="110"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16">
        <f ca="1">OFFSET(CampList[HH],MATCH(Table10[[#This Row],[Pcode]],CampList[CP_Pcode],0)-1,0,1,1)</f>
        <v>6</v>
      </c>
      <c r="F157" s="116">
        <f ca="1">OFFSET(CampList[Total],MATCH(Table10[[#This Row],[Pcode]],CampList[CP_Pcode],0)-1,0,1,1)</f>
        <v>31</v>
      </c>
      <c r="G157" s="116">
        <f>SUMIF('NFI Distributions'!AS$38:AS$1048576,Table10[[#This Row],[Pcode]],'NFI Distributions'!AK$38:AK$1048576)</f>
        <v>0</v>
      </c>
      <c r="H157" s="116">
        <f>SUMIF('NFI Distributions'!AS$38:AS$1048576,Table10[[#This Row],[Pcode]],'NFI Distributions'!AL$38:AL$1048576)</f>
        <v>0</v>
      </c>
      <c r="I157" s="116">
        <f>SUMIF('NFI Distributions'!AS$38:AS$1048576,Table10[[#This Row],[Pcode]],'NFI Distributions'!AM$38:AM$1048576)</f>
        <v>0</v>
      </c>
      <c r="J157" s="116">
        <f ca="1">MAX(Table10[[#This Row],[HH]]*VLOOKUP("Winter Clothes Adult",NFI,6)-Table10[[#This Row],[Winter Clothes Adult ]],0)</f>
        <v>12</v>
      </c>
      <c r="K157" s="116">
        <f ca="1">MAX(Table10[[#This Row],[HH]]*VLOOKUP("Winter Clothes Children ",NFI,6)-Table10[[#This Row],[Winter Clothes Children ]],0)</f>
        <v>6</v>
      </c>
      <c r="L157" s="116">
        <f ca="1">MAX(Table10[[#This Row],[HH]]*VLOOKUP("Winter Items Other ",NFI,6)-Table10[[#This Row],[Winter Items Other ]],0)</f>
        <v>6</v>
      </c>
      <c r="M157" s="129" t="str">
        <f>IF(OR(Table10[[#This Row],[Winter Clothes Adult ]]&lt;&gt;0,Table10[[#This Row],[Winter Clothes Children ]]&lt;&gt;0,Table10[[#This Row],[Winter Items Other ]]&lt;&gt;0),"No","")</f>
        <v/>
      </c>
      <c r="N157" s="130">
        <f>COUNTIF(A:A,Table10[[#This Row],[Pcode]])-1</f>
        <v>0</v>
      </c>
    </row>
    <row r="158" spans="1:14" x14ac:dyDescent="0.25">
      <c r="A158" s="110"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16">
        <f ca="1">OFFSET(CampList[HH],MATCH(Table10[[#This Row],[Pcode]],CampList[CP_Pcode],0)-1,0,1,1)</f>
        <v>30</v>
      </c>
      <c r="F158" s="116">
        <f ca="1">OFFSET(CampList[Total],MATCH(Table10[[#This Row],[Pcode]],CampList[CP_Pcode],0)-1,0,1,1)</f>
        <v>170</v>
      </c>
      <c r="G158" s="116">
        <f>SUMIF('NFI Distributions'!AS$38:AS$1048576,Table10[[#This Row],[Pcode]],'NFI Distributions'!AK$38:AK$1048576)</f>
        <v>0</v>
      </c>
      <c r="H158" s="116">
        <f>SUMIF('NFI Distributions'!AS$38:AS$1048576,Table10[[#This Row],[Pcode]],'NFI Distributions'!AL$38:AL$1048576)</f>
        <v>0</v>
      </c>
      <c r="I158" s="116">
        <f>SUMIF('NFI Distributions'!AS$38:AS$1048576,Table10[[#This Row],[Pcode]],'NFI Distributions'!AM$38:AM$1048576)</f>
        <v>0</v>
      </c>
      <c r="J158" s="116">
        <f ca="1">MAX(Table10[[#This Row],[HH]]*VLOOKUP("Winter Clothes Adult",NFI,6)-Table10[[#This Row],[Winter Clothes Adult ]],0)</f>
        <v>60</v>
      </c>
      <c r="K158" s="116">
        <f ca="1">MAX(Table10[[#This Row],[HH]]*VLOOKUP("Winter Clothes Children ",NFI,6)-Table10[[#This Row],[Winter Clothes Children ]],0)</f>
        <v>30</v>
      </c>
      <c r="L158" s="116">
        <f ca="1">MAX(Table10[[#This Row],[HH]]*VLOOKUP("Winter Items Other ",NFI,6)-Table10[[#This Row],[Winter Items Other ]],0)</f>
        <v>30</v>
      </c>
      <c r="M158" s="129" t="str">
        <f>IF(OR(Table10[[#This Row],[Winter Clothes Adult ]]&lt;&gt;0,Table10[[#This Row],[Winter Clothes Children ]]&lt;&gt;0,Table10[[#This Row],[Winter Items Other ]]&lt;&gt;0),"No","")</f>
        <v/>
      </c>
      <c r="N158" s="130">
        <f>COUNTIF(A:A,Table10[[#This Row],[Pcode]])-1</f>
        <v>0</v>
      </c>
    </row>
    <row r="159" spans="1:14" x14ac:dyDescent="0.25">
      <c r="A159" s="110"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16">
        <f ca="1">OFFSET(CampList[HH],MATCH(Table10[[#This Row],[Pcode]],CampList[CP_Pcode],0)-1,0,1,1)</f>
        <v>46</v>
      </c>
      <c r="F159" s="116">
        <f ca="1">OFFSET(CampList[Total],MATCH(Table10[[#This Row],[Pcode]],CampList[CP_Pcode],0)-1,0,1,1)</f>
        <v>239</v>
      </c>
      <c r="G159" s="116">
        <f>SUMIF('NFI Distributions'!AS$38:AS$1048576,Table10[[#This Row],[Pcode]],'NFI Distributions'!AK$38:AK$1048576)</f>
        <v>0</v>
      </c>
      <c r="H159" s="116">
        <f>SUMIF('NFI Distributions'!AS$38:AS$1048576,Table10[[#This Row],[Pcode]],'NFI Distributions'!AL$38:AL$1048576)</f>
        <v>0</v>
      </c>
      <c r="I159" s="116">
        <f>SUMIF('NFI Distributions'!AS$38:AS$1048576,Table10[[#This Row],[Pcode]],'NFI Distributions'!AM$38:AM$1048576)</f>
        <v>0</v>
      </c>
      <c r="J159" s="116">
        <f ca="1">MAX(Table10[[#This Row],[HH]]*VLOOKUP("Winter Clothes Adult",NFI,6)-Table10[[#This Row],[Winter Clothes Adult ]],0)</f>
        <v>92</v>
      </c>
      <c r="K159" s="116">
        <f ca="1">MAX(Table10[[#This Row],[HH]]*VLOOKUP("Winter Clothes Children ",NFI,6)-Table10[[#This Row],[Winter Clothes Children ]],0)</f>
        <v>46</v>
      </c>
      <c r="L159" s="116">
        <f ca="1">MAX(Table10[[#This Row],[HH]]*VLOOKUP("Winter Items Other ",NFI,6)-Table10[[#This Row],[Winter Items Other ]],0)</f>
        <v>46</v>
      </c>
      <c r="M159" s="129" t="str">
        <f>IF(OR(Table10[[#This Row],[Winter Clothes Adult ]]&lt;&gt;0,Table10[[#This Row],[Winter Clothes Children ]]&lt;&gt;0,Table10[[#This Row],[Winter Items Other ]]&lt;&gt;0),"No","")</f>
        <v/>
      </c>
      <c r="N159" s="130">
        <f>COUNTIF(A:A,Table10[[#This Row],[Pcode]])-1</f>
        <v>0</v>
      </c>
    </row>
    <row r="160" spans="1:14" x14ac:dyDescent="0.25">
      <c r="A160" s="110"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16">
        <f ca="1">OFFSET(CampList[HH],MATCH(Table10[[#This Row],[Pcode]],CampList[CP_Pcode],0)-1,0,1,1)</f>
        <v>46</v>
      </c>
      <c r="F160" s="116">
        <f ca="1">OFFSET(CampList[Total],MATCH(Table10[[#This Row],[Pcode]],CampList[CP_Pcode],0)-1,0,1,1)</f>
        <v>190</v>
      </c>
      <c r="G160" s="116">
        <f>SUMIF('NFI Distributions'!AS$38:AS$1048576,Table10[[#This Row],[Pcode]],'NFI Distributions'!AK$38:AK$1048576)</f>
        <v>0</v>
      </c>
      <c r="H160" s="116">
        <f>SUMIF('NFI Distributions'!AS$38:AS$1048576,Table10[[#This Row],[Pcode]],'NFI Distributions'!AL$38:AL$1048576)</f>
        <v>0</v>
      </c>
      <c r="I160" s="116">
        <f>SUMIF('NFI Distributions'!AS$38:AS$1048576,Table10[[#This Row],[Pcode]],'NFI Distributions'!AM$38:AM$1048576)</f>
        <v>0</v>
      </c>
      <c r="J160" s="116">
        <f ca="1">MAX(Table10[[#This Row],[HH]]*VLOOKUP("Winter Clothes Adult",NFI,6)-Table10[[#This Row],[Winter Clothes Adult ]],0)</f>
        <v>92</v>
      </c>
      <c r="K160" s="116">
        <f ca="1">MAX(Table10[[#This Row],[HH]]*VLOOKUP("Winter Clothes Children ",NFI,6)-Table10[[#This Row],[Winter Clothes Children ]],0)</f>
        <v>46</v>
      </c>
      <c r="L160" s="116">
        <f ca="1">MAX(Table10[[#This Row],[HH]]*VLOOKUP("Winter Items Other ",NFI,6)-Table10[[#This Row],[Winter Items Other ]],0)</f>
        <v>46</v>
      </c>
      <c r="M160" s="129" t="str">
        <f>IF(OR(Table10[[#This Row],[Winter Clothes Adult ]]&lt;&gt;0,Table10[[#This Row],[Winter Clothes Children ]]&lt;&gt;0,Table10[[#This Row],[Winter Items Other ]]&lt;&gt;0),"No","")</f>
        <v/>
      </c>
      <c r="N160" s="130">
        <f>COUNTIF(A:A,Table10[[#This Row],[Pcode]])-1</f>
        <v>0</v>
      </c>
    </row>
    <row r="161" spans="1:14" x14ac:dyDescent="0.25">
      <c r="A161" s="110" t="s">
        <v>878</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16">
        <f ca="1">OFFSET(CampList[HH],MATCH(Table10[[#This Row],[Pcode]],CampList[CP_Pcode],0)-1,0,1,1)</f>
        <v>0</v>
      </c>
      <c r="F161" s="116">
        <f ca="1">OFFSET(CampList[Total],MATCH(Table10[[#This Row],[Pcode]],CampList[CP_Pcode],0)-1,0,1,1)</f>
        <v>0</v>
      </c>
      <c r="G161" s="116">
        <f>SUMIF('NFI Distributions'!AS$38:AS$1048576,Table10[[#This Row],[Pcode]],'NFI Distributions'!AK$38:AK$1048576)</f>
        <v>0</v>
      </c>
      <c r="H161" s="116">
        <f>SUMIF('NFI Distributions'!AS$38:AS$1048576,Table10[[#This Row],[Pcode]],'NFI Distributions'!AL$38:AL$1048576)</f>
        <v>0</v>
      </c>
      <c r="I161" s="116">
        <f>SUMIF('NFI Distributions'!AS$38:AS$1048576,Table10[[#This Row],[Pcode]],'NFI Distributions'!AM$38:AM$1048576)</f>
        <v>0</v>
      </c>
      <c r="J161" s="116">
        <f ca="1">MAX(Table10[[#This Row],[HH]]*VLOOKUP("Winter Clothes Adult",NFI,6)-Table10[[#This Row],[Winter Clothes Adult ]],0)</f>
        <v>0</v>
      </c>
      <c r="K161" s="116">
        <f ca="1">MAX(Table10[[#This Row],[HH]]*VLOOKUP("Winter Clothes Children ",NFI,6)-Table10[[#This Row],[Winter Clothes Children ]],0)</f>
        <v>0</v>
      </c>
      <c r="L161" s="116">
        <f ca="1">MAX(Table10[[#This Row],[HH]]*VLOOKUP("Winter Items Other ",NFI,6)-Table10[[#This Row],[Winter Items Other ]],0)</f>
        <v>0</v>
      </c>
      <c r="M161" s="129" t="str">
        <f>IF(OR(Table10[[#This Row],[Winter Clothes Adult ]]&lt;&gt;0,Table10[[#This Row],[Winter Clothes Children ]]&lt;&gt;0,Table10[[#This Row],[Winter Items Other ]]&lt;&gt;0),"No","")</f>
        <v/>
      </c>
      <c r="N161" s="130">
        <f>COUNTIF(A:A,Table10[[#This Row],[Pcode]])-1</f>
        <v>0</v>
      </c>
    </row>
    <row r="162" spans="1:14" x14ac:dyDescent="0.25">
      <c r="A162" s="110"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16">
        <f ca="1">OFFSET(CampList[HH],MATCH(Table10[[#This Row],[Pcode]],CampList[CP_Pcode],0)-1,0,1,1)</f>
        <v>69</v>
      </c>
      <c r="F162" s="116">
        <f ca="1">OFFSET(CampList[Total],MATCH(Table10[[#This Row],[Pcode]],CampList[CP_Pcode],0)-1,0,1,1)</f>
        <v>286</v>
      </c>
      <c r="G162" s="116">
        <f>SUMIF('NFI Distributions'!AS$38:AS$1048576,Table10[[#This Row],[Pcode]],'NFI Distributions'!AK$38:AK$1048576)</f>
        <v>0</v>
      </c>
      <c r="H162" s="116">
        <f>SUMIF('NFI Distributions'!AS$38:AS$1048576,Table10[[#This Row],[Pcode]],'NFI Distributions'!AL$38:AL$1048576)</f>
        <v>0</v>
      </c>
      <c r="I162" s="116">
        <f>SUMIF('NFI Distributions'!AS$38:AS$1048576,Table10[[#This Row],[Pcode]],'NFI Distributions'!AM$38:AM$1048576)</f>
        <v>0</v>
      </c>
      <c r="J162" s="116">
        <f ca="1">MAX(Table10[[#This Row],[HH]]*VLOOKUP("Winter Clothes Adult",NFI,6)-Table10[[#This Row],[Winter Clothes Adult ]],0)</f>
        <v>138</v>
      </c>
      <c r="K162" s="116">
        <f ca="1">MAX(Table10[[#This Row],[HH]]*VLOOKUP("Winter Clothes Children ",NFI,6)-Table10[[#This Row],[Winter Clothes Children ]],0)</f>
        <v>69</v>
      </c>
      <c r="L162" s="116">
        <f ca="1">MAX(Table10[[#This Row],[HH]]*VLOOKUP("Winter Items Other ",NFI,6)-Table10[[#This Row],[Winter Items Other ]],0)</f>
        <v>69</v>
      </c>
      <c r="M162" s="129" t="str">
        <f>IF(OR(Table10[[#This Row],[Winter Clothes Adult ]]&lt;&gt;0,Table10[[#This Row],[Winter Clothes Children ]]&lt;&gt;0,Table10[[#This Row],[Winter Items Other ]]&lt;&gt;0),"No","")</f>
        <v/>
      </c>
      <c r="N162" s="130">
        <f>COUNTIF(A:A,Table10[[#This Row],[Pcode]])-1</f>
        <v>0</v>
      </c>
    </row>
    <row r="163" spans="1:14" x14ac:dyDescent="0.25">
      <c r="A163" s="110"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16">
        <f ca="1">OFFSET(CampList[HH],MATCH(Table10[[#This Row],[Pcode]],CampList[CP_Pcode],0)-1,0,1,1)</f>
        <v>0</v>
      </c>
      <c r="F163" s="116">
        <f ca="1">OFFSET(CampList[Total],MATCH(Table10[[#This Row],[Pcode]],CampList[CP_Pcode],0)-1,0,1,1)</f>
        <v>0</v>
      </c>
      <c r="G163" s="116">
        <f>SUMIF('NFI Distributions'!AS$38:AS$1048576,Table10[[#This Row],[Pcode]],'NFI Distributions'!AK$38:AK$1048576)</f>
        <v>0</v>
      </c>
      <c r="H163" s="116">
        <f>SUMIF('NFI Distributions'!AS$38:AS$1048576,Table10[[#This Row],[Pcode]],'NFI Distributions'!AL$38:AL$1048576)</f>
        <v>0</v>
      </c>
      <c r="I163" s="116">
        <f>SUMIF('NFI Distributions'!AS$38:AS$1048576,Table10[[#This Row],[Pcode]],'NFI Distributions'!AM$38:AM$1048576)</f>
        <v>0</v>
      </c>
      <c r="J163" s="116">
        <f ca="1">MAX(Table10[[#This Row],[HH]]*VLOOKUP("Winter Clothes Adult",NFI,6)-Table10[[#This Row],[Winter Clothes Adult ]],0)</f>
        <v>0</v>
      </c>
      <c r="K163" s="116">
        <f ca="1">MAX(Table10[[#This Row],[HH]]*VLOOKUP("Winter Clothes Children ",NFI,6)-Table10[[#This Row],[Winter Clothes Children ]],0)</f>
        <v>0</v>
      </c>
      <c r="L163" s="116">
        <f ca="1">MAX(Table10[[#This Row],[HH]]*VLOOKUP("Winter Items Other ",NFI,6)-Table10[[#This Row],[Winter Items Other ]],0)</f>
        <v>0</v>
      </c>
      <c r="M163" s="129" t="str">
        <f>IF(OR(Table10[[#This Row],[Winter Clothes Adult ]]&lt;&gt;0,Table10[[#This Row],[Winter Clothes Children ]]&lt;&gt;0,Table10[[#This Row],[Winter Items Other ]]&lt;&gt;0),"No","")</f>
        <v/>
      </c>
      <c r="N163" s="130">
        <f>COUNTIF(A:A,Table10[[#This Row],[Pcode]])-1</f>
        <v>0</v>
      </c>
    </row>
    <row r="164" spans="1:14" x14ac:dyDescent="0.25">
      <c r="A164" s="110"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16">
        <f ca="1">OFFSET(CampList[HH],MATCH(Table10[[#This Row],[Pcode]],CampList[CP_Pcode],0)-1,0,1,1)</f>
        <v>32</v>
      </c>
      <c r="F164" s="116">
        <f ca="1">OFFSET(CampList[Total],MATCH(Table10[[#This Row],[Pcode]],CampList[CP_Pcode],0)-1,0,1,1)</f>
        <v>171</v>
      </c>
      <c r="G164" s="116">
        <f>SUMIF('NFI Distributions'!AS$38:AS$1048576,Table10[[#This Row],[Pcode]],'NFI Distributions'!AK$38:AK$1048576)</f>
        <v>0</v>
      </c>
      <c r="H164" s="116">
        <f>SUMIF('NFI Distributions'!AS$38:AS$1048576,Table10[[#This Row],[Pcode]],'NFI Distributions'!AL$38:AL$1048576)</f>
        <v>0</v>
      </c>
      <c r="I164" s="116">
        <f>SUMIF('NFI Distributions'!AS$38:AS$1048576,Table10[[#This Row],[Pcode]],'NFI Distributions'!AM$38:AM$1048576)</f>
        <v>0</v>
      </c>
      <c r="J164" s="116">
        <f ca="1">MAX(Table10[[#This Row],[HH]]*VLOOKUP("Winter Clothes Adult",NFI,6)-Table10[[#This Row],[Winter Clothes Adult ]],0)</f>
        <v>64</v>
      </c>
      <c r="K164" s="116">
        <f ca="1">MAX(Table10[[#This Row],[HH]]*VLOOKUP("Winter Clothes Children ",NFI,6)-Table10[[#This Row],[Winter Clothes Children ]],0)</f>
        <v>32</v>
      </c>
      <c r="L164" s="116">
        <f ca="1">MAX(Table10[[#This Row],[HH]]*VLOOKUP("Winter Items Other ",NFI,6)-Table10[[#This Row],[Winter Items Other ]],0)</f>
        <v>32</v>
      </c>
      <c r="M164" s="129" t="str">
        <f>IF(OR(Table10[[#This Row],[Winter Clothes Adult ]]&lt;&gt;0,Table10[[#This Row],[Winter Clothes Children ]]&lt;&gt;0,Table10[[#This Row],[Winter Items Other ]]&lt;&gt;0),"No","")</f>
        <v/>
      </c>
      <c r="N164" s="130">
        <f>COUNTIF(A:A,Table10[[#This Row],[Pcode]])-1</f>
        <v>0</v>
      </c>
    </row>
    <row r="165" spans="1:14" x14ac:dyDescent="0.25">
      <c r="A165" s="110"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16">
        <f ca="1">OFFSET(CampList[HH],MATCH(Table10[[#This Row],[Pcode]],CampList[CP_Pcode],0)-1,0,1,1)</f>
        <v>1411</v>
      </c>
      <c r="F165" s="116">
        <f ca="1">OFFSET(CampList[Total],MATCH(Table10[[#This Row],[Pcode]],CampList[CP_Pcode],0)-1,0,1,1)</f>
        <v>6904</v>
      </c>
      <c r="G165" s="116">
        <f>SUMIF('NFI Distributions'!AS$38:AS$1048576,Table10[[#This Row],[Pcode]],'NFI Distributions'!AK$38:AK$1048576)</f>
        <v>0</v>
      </c>
      <c r="H165" s="116">
        <f>SUMIF('NFI Distributions'!AS$38:AS$1048576,Table10[[#This Row],[Pcode]],'NFI Distributions'!AL$38:AL$1048576)</f>
        <v>0</v>
      </c>
      <c r="I165" s="116">
        <f>SUMIF('NFI Distributions'!AS$38:AS$1048576,Table10[[#This Row],[Pcode]],'NFI Distributions'!AM$38:AM$1048576)</f>
        <v>0</v>
      </c>
      <c r="J165" s="116">
        <f ca="1">MAX(Table10[[#This Row],[HH]]*VLOOKUP("Winter Clothes Adult",NFI,6)-Table10[[#This Row],[Winter Clothes Adult ]],0)</f>
        <v>2822</v>
      </c>
      <c r="K165" s="116">
        <f ca="1">MAX(Table10[[#This Row],[HH]]*VLOOKUP("Winter Clothes Children ",NFI,6)-Table10[[#This Row],[Winter Clothes Children ]],0)</f>
        <v>1411</v>
      </c>
      <c r="L165" s="116">
        <f ca="1">MAX(Table10[[#This Row],[HH]]*VLOOKUP("Winter Items Other ",NFI,6)-Table10[[#This Row],[Winter Items Other ]],0)</f>
        <v>1411</v>
      </c>
      <c r="M165" s="129" t="str">
        <f>IF(OR(Table10[[#This Row],[Winter Clothes Adult ]]&lt;&gt;0,Table10[[#This Row],[Winter Clothes Children ]]&lt;&gt;0,Table10[[#This Row],[Winter Items Other ]]&lt;&gt;0),"No","")</f>
        <v/>
      </c>
      <c r="N165" s="130">
        <f>COUNTIF(A:A,Table10[[#This Row],[Pcode]])-1</f>
        <v>0</v>
      </c>
    </row>
    <row r="166" spans="1:14" x14ac:dyDescent="0.25">
      <c r="A166" s="110"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16">
        <f ca="1">OFFSET(CampList[HH],MATCH(Table10[[#This Row],[Pcode]],CampList[CP_Pcode],0)-1,0,1,1)</f>
        <v>7</v>
      </c>
      <c r="F166" s="116">
        <f ca="1">OFFSET(CampList[Total],MATCH(Table10[[#This Row],[Pcode]],CampList[CP_Pcode],0)-1,0,1,1)</f>
        <v>37</v>
      </c>
      <c r="G166" s="116">
        <f>SUMIF('NFI Distributions'!AS$38:AS$1048576,Table10[[#This Row],[Pcode]],'NFI Distributions'!AK$38:AK$1048576)</f>
        <v>0</v>
      </c>
      <c r="H166" s="116">
        <f>SUMIF('NFI Distributions'!AS$38:AS$1048576,Table10[[#This Row],[Pcode]],'NFI Distributions'!AL$38:AL$1048576)</f>
        <v>0</v>
      </c>
      <c r="I166" s="116">
        <f>SUMIF('NFI Distributions'!AS$38:AS$1048576,Table10[[#This Row],[Pcode]],'NFI Distributions'!AM$38:AM$1048576)</f>
        <v>0</v>
      </c>
      <c r="J166" s="116">
        <f ca="1">MAX(Table10[[#This Row],[HH]]*VLOOKUP("Winter Clothes Adult",NFI,6)-Table10[[#This Row],[Winter Clothes Adult ]],0)</f>
        <v>14</v>
      </c>
      <c r="K166" s="116">
        <f ca="1">MAX(Table10[[#This Row],[HH]]*VLOOKUP("Winter Clothes Children ",NFI,6)-Table10[[#This Row],[Winter Clothes Children ]],0)</f>
        <v>7</v>
      </c>
      <c r="L166" s="116">
        <f ca="1">MAX(Table10[[#This Row],[HH]]*VLOOKUP("Winter Items Other ",NFI,6)-Table10[[#This Row],[Winter Items Other ]],0)</f>
        <v>7</v>
      </c>
      <c r="M166" s="129" t="str">
        <f>IF(OR(Table10[[#This Row],[Winter Clothes Adult ]]&lt;&gt;0,Table10[[#This Row],[Winter Clothes Children ]]&lt;&gt;0,Table10[[#This Row],[Winter Items Other ]]&lt;&gt;0),"No","")</f>
        <v/>
      </c>
      <c r="N166" s="130">
        <f>COUNTIF(A:A,Table10[[#This Row],[Pcode]])-1</f>
        <v>0</v>
      </c>
    </row>
    <row r="167" spans="1:14" x14ac:dyDescent="0.25">
      <c r="A167" s="110"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16">
        <f ca="1">OFFSET(CampList[HH],MATCH(Table10[[#This Row],[Pcode]],CampList[CP_Pcode],0)-1,0,1,1)</f>
        <v>14</v>
      </c>
      <c r="F167" s="116">
        <f ca="1">OFFSET(CampList[Total],MATCH(Table10[[#This Row],[Pcode]],CampList[CP_Pcode],0)-1,0,1,1)</f>
        <v>74</v>
      </c>
      <c r="G167" s="116">
        <f>SUMIF('NFI Distributions'!AS$38:AS$1048576,Table10[[#This Row],[Pcode]],'NFI Distributions'!AK$38:AK$1048576)</f>
        <v>0</v>
      </c>
      <c r="H167" s="116">
        <f>SUMIF('NFI Distributions'!AS$38:AS$1048576,Table10[[#This Row],[Pcode]],'NFI Distributions'!AL$38:AL$1048576)</f>
        <v>0</v>
      </c>
      <c r="I167" s="116">
        <f>SUMIF('NFI Distributions'!AS$38:AS$1048576,Table10[[#This Row],[Pcode]],'NFI Distributions'!AM$38:AM$1048576)</f>
        <v>0</v>
      </c>
      <c r="J167" s="116">
        <f ca="1">MAX(Table10[[#This Row],[HH]]*VLOOKUP("Winter Clothes Adult",NFI,6)-Table10[[#This Row],[Winter Clothes Adult ]],0)</f>
        <v>28</v>
      </c>
      <c r="K167" s="116">
        <f ca="1">MAX(Table10[[#This Row],[HH]]*VLOOKUP("Winter Clothes Children ",NFI,6)-Table10[[#This Row],[Winter Clothes Children ]],0)</f>
        <v>14</v>
      </c>
      <c r="L167" s="116">
        <f ca="1">MAX(Table10[[#This Row],[HH]]*VLOOKUP("Winter Items Other ",NFI,6)-Table10[[#This Row],[Winter Items Other ]],0)</f>
        <v>14</v>
      </c>
      <c r="M167" s="129" t="str">
        <f>IF(OR(Table10[[#This Row],[Winter Clothes Adult ]]&lt;&gt;0,Table10[[#This Row],[Winter Clothes Children ]]&lt;&gt;0,Table10[[#This Row],[Winter Items Other ]]&lt;&gt;0),"No","")</f>
        <v/>
      </c>
      <c r="N167" s="130">
        <f>COUNTIF(A:A,Table10[[#This Row],[Pcode]])-1</f>
        <v>0</v>
      </c>
    </row>
    <row r="168" spans="1:14" x14ac:dyDescent="0.25">
      <c r="A168" s="109" t="s">
        <v>139</v>
      </c>
      <c r="B168" s="118" t="e">
        <f ca="1">OFFSET(#REF!,MATCH(Table10[[#This Row],[Pcode]],CampList[CP_Pcode],0)-1,0,1,1)</f>
        <v>#REF!</v>
      </c>
      <c r="C168" s="118" t="str">
        <f ca="1">OFFSET(CampList[Camp],MATCH(Table10[[#This Row],[Pcode]],CampList[CP_Pcode],0)-1,0,1,1)</f>
        <v>Yumar Baptist Church</v>
      </c>
      <c r="D168" s="118" t="str">
        <f ca="1">OFFSET(CampList[Township],MATCH(Table10[[#This Row],[Pcode]],CampList[CP_Pcode],0)-1,0,1,1)</f>
        <v>Hpakant</v>
      </c>
      <c r="E168" s="131">
        <f ca="1">OFFSET(CampList[HH],MATCH(Table10[[#This Row],[Pcode]],CampList[CP_Pcode],0)-1,0,1,1)</f>
        <v>11</v>
      </c>
      <c r="F168" s="131">
        <f ca="1">OFFSET(CampList[Total],MATCH(Table10[[#This Row],[Pcode]],CampList[CP_Pcode],0)-1,0,1,1)</f>
        <v>48</v>
      </c>
      <c r="G168" s="131">
        <f>SUMIF('NFI Distributions'!AS$38:AS$1048576,Table10[[#This Row],[Pcode]],'NFI Distributions'!AK$38:AK$1048576)</f>
        <v>0</v>
      </c>
      <c r="H168" s="131">
        <f>SUMIF('NFI Distributions'!AS$38:AS$1048576,Table10[[#This Row],[Pcode]],'NFI Distributions'!AL$38:AL$1048576)</f>
        <v>0</v>
      </c>
      <c r="I168" s="131">
        <f>SUMIF('NFI Distributions'!AS$38:AS$1048576,Table10[[#This Row],[Pcode]],'NFI Distributions'!AM$38:AM$1048576)</f>
        <v>0</v>
      </c>
      <c r="J168" s="131">
        <f ca="1">MAX(Table10[[#This Row],[HH]]*VLOOKUP("Winter Clothes Adult",NFI,6)-Table10[[#This Row],[Winter Clothes Adult ]],0)</f>
        <v>22</v>
      </c>
      <c r="K168" s="131">
        <f ca="1">MAX(Table10[[#This Row],[HH]]*VLOOKUP("Winter Clothes Children ",NFI,6)-Table10[[#This Row],[Winter Clothes Children ]],0)</f>
        <v>11</v>
      </c>
      <c r="L168" s="131">
        <f ca="1">MAX(Table10[[#This Row],[HH]]*VLOOKUP("Winter Items Other ",NFI,6)-Table10[[#This Row],[Winter Items Other ]],0)</f>
        <v>11</v>
      </c>
      <c r="M168" s="132" t="str">
        <f>IF(OR(Table10[[#This Row],[Winter Clothes Adult ]]&lt;&gt;0,Table10[[#This Row],[Winter Clothes Children ]]&lt;&gt;0,Table10[[#This Row],[Winter Items Other ]]&lt;&gt;0),"No","")</f>
        <v/>
      </c>
      <c r="N168" s="13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VX2808"/>
  <sheetViews>
    <sheetView showGridLines="0" showZeros="0" topLeftCell="A19" zoomScale="90" zoomScaleNormal="90" zoomScaleSheetLayoutView="80" workbookViewId="0">
      <selection activeCell="AI14" sqref="AI14"/>
    </sheetView>
  </sheetViews>
  <sheetFormatPr defaultColWidth="11.42578125" defaultRowHeight="15" x14ac:dyDescent="0.25"/>
  <cols>
    <col min="1" max="1" width="2.42578125" style="43" customWidth="1"/>
    <col min="2" max="2" width="1.5703125" style="43"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43"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43" customWidth="1"/>
    <col min="20" max="20" width="1.28515625" style="43" customWidth="1"/>
    <col min="21" max="21" width="5" style="43" customWidth="1"/>
    <col min="22" max="22" width="7.7109375" style="43" hidden="1" customWidth="1"/>
    <col min="23" max="23" width="7.5703125" style="43" hidden="1" customWidth="1"/>
    <col min="24" max="24" width="4.28515625" style="43" hidden="1" customWidth="1"/>
    <col min="25" max="25" width="7.140625" style="43" hidden="1" customWidth="1"/>
    <col min="26" max="27" width="10.140625" style="43" hidden="1" customWidth="1"/>
    <col min="28" max="28" width="9.5703125" style="43" hidden="1" customWidth="1"/>
    <col min="29" max="29" width="9.28515625" style="43" hidden="1" customWidth="1"/>
    <col min="30" max="30" width="9.85546875" style="43" hidden="1" customWidth="1"/>
    <col min="31" max="31" width="10.28515625" style="43" hidden="1" customWidth="1"/>
    <col min="32" max="32" width="8.85546875" style="8" hidden="1" customWidth="1"/>
    <col min="33" max="33" width="23" style="8" customWidth="1"/>
    <col min="34" max="34" width="17.85546875" style="8" customWidth="1"/>
    <col min="35" max="35" width="13.85546875" style="8" bestFit="1" customWidth="1"/>
    <col min="36" max="39" width="11.42578125" style="8"/>
    <col min="40" max="40" width="11.42578125" style="405"/>
    <col min="41" max="41" width="14.85546875" style="8" customWidth="1"/>
    <col min="42" max="42" width="13.85546875" style="8" customWidth="1"/>
    <col min="43" max="43" width="11.42578125" style="8" customWidth="1"/>
    <col min="44" max="44" width="13.5703125" style="8" customWidth="1"/>
    <col min="45" max="45" width="9.7109375" style="8" customWidth="1"/>
    <col min="46" max="46" width="8.140625" style="8" customWidth="1"/>
    <col min="47" max="47" width="11.42578125" style="8" customWidth="1"/>
    <col min="48" max="48" width="13.7109375" style="8" customWidth="1"/>
    <col min="49" max="49" width="11.140625" style="8" customWidth="1"/>
    <col min="50" max="50" width="11.5703125" style="8" customWidth="1"/>
    <col min="51" max="260" width="11.42578125" style="8"/>
    <col min="261" max="261" width="5.28515625" style="8" customWidth="1"/>
    <col min="262" max="262" width="15.28515625" style="8" customWidth="1"/>
    <col min="263" max="263" width="14.42578125" style="8" bestFit="1" customWidth="1"/>
    <col min="264" max="264" width="10.42578125" style="8" bestFit="1" customWidth="1"/>
    <col min="265" max="265" width="12.28515625" style="8" customWidth="1"/>
    <col min="266" max="270" width="11.42578125" style="8" customWidth="1"/>
    <col min="271" max="272" width="10.5703125" style="8" bestFit="1" customWidth="1"/>
    <col min="273" max="274" width="11.42578125" style="8" customWidth="1"/>
    <col min="275" max="275" width="6.140625" style="8" customWidth="1"/>
    <col min="276" max="286" width="11.42578125" style="8" customWidth="1"/>
    <col min="287" max="516" width="11.42578125" style="8"/>
    <col min="517" max="517" width="5.28515625" style="8" customWidth="1"/>
    <col min="518" max="518" width="15.28515625" style="8" customWidth="1"/>
    <col min="519" max="519" width="14.42578125" style="8" bestFit="1" customWidth="1"/>
    <col min="520" max="520" width="10.42578125" style="8" bestFit="1" customWidth="1"/>
    <col min="521" max="521" width="12.28515625" style="8" customWidth="1"/>
    <col min="522" max="526" width="11.42578125" style="8" customWidth="1"/>
    <col min="527" max="528" width="10.5703125" style="8" bestFit="1" customWidth="1"/>
    <col min="529" max="530" width="11.42578125" style="8" customWidth="1"/>
    <col min="531" max="531" width="6.140625" style="8" customWidth="1"/>
    <col min="532" max="542" width="11.42578125" style="8" customWidth="1"/>
    <col min="543" max="595" width="11.42578125" style="8"/>
    <col min="596" max="596" width="11.42578125" style="14"/>
    <col min="597" max="772" width="11.42578125" style="8"/>
    <col min="773" max="773" width="5.28515625" style="8" customWidth="1"/>
    <col min="774" max="774" width="15.28515625" style="8" customWidth="1"/>
    <col min="775" max="775" width="14.42578125" style="8" bestFit="1" customWidth="1"/>
    <col min="776" max="776" width="10.42578125" style="8" bestFit="1" customWidth="1"/>
    <col min="777" max="777" width="12.28515625" style="8" customWidth="1"/>
    <col min="778" max="782" width="11.42578125" style="8" customWidth="1"/>
    <col min="783" max="784" width="10.5703125" style="8" bestFit="1" customWidth="1"/>
    <col min="785" max="786" width="11.42578125" style="8" customWidth="1"/>
    <col min="787" max="787" width="6.140625" style="8" customWidth="1"/>
    <col min="788" max="798" width="11.42578125" style="8" customWidth="1"/>
    <col min="799" max="1028" width="11.42578125" style="8"/>
    <col min="1029" max="1029" width="5.28515625" style="8" customWidth="1"/>
    <col min="1030" max="1030" width="15.28515625" style="8" customWidth="1"/>
    <col min="1031" max="1031" width="14.42578125" style="8" bestFit="1" customWidth="1"/>
    <col min="1032" max="1032" width="10.42578125" style="8" bestFit="1" customWidth="1"/>
    <col min="1033" max="1033" width="12.28515625" style="8" customWidth="1"/>
    <col min="1034" max="1038" width="11.42578125" style="8" customWidth="1"/>
    <col min="1039" max="1040" width="10.5703125" style="8" bestFit="1" customWidth="1"/>
    <col min="1041" max="1042" width="11.42578125" style="8" customWidth="1"/>
    <col min="1043" max="1043" width="6.140625" style="8" customWidth="1"/>
    <col min="1044" max="1054" width="11.42578125" style="8" customWidth="1"/>
    <col min="1055" max="1284" width="11.42578125" style="8"/>
    <col min="1285" max="1285" width="5.28515625" style="8" customWidth="1"/>
    <col min="1286" max="1286" width="15.28515625" style="8" customWidth="1"/>
    <col min="1287" max="1287" width="14.42578125" style="8" bestFit="1" customWidth="1"/>
    <col min="1288" max="1288" width="10.42578125" style="8" bestFit="1" customWidth="1"/>
    <col min="1289" max="1289" width="12.28515625" style="8" customWidth="1"/>
    <col min="1290" max="1294" width="11.42578125" style="8" customWidth="1"/>
    <col min="1295" max="1296" width="10.5703125" style="8" bestFit="1" customWidth="1"/>
    <col min="1297" max="1298" width="11.42578125" style="8" customWidth="1"/>
    <col min="1299" max="1299" width="6.140625" style="8" customWidth="1"/>
    <col min="1300" max="1310" width="11.42578125" style="8" customWidth="1"/>
    <col min="1311" max="1540" width="11.42578125" style="8"/>
    <col min="1541" max="1541" width="5.28515625" style="8" customWidth="1"/>
    <col min="1542" max="1542" width="15.28515625" style="8" customWidth="1"/>
    <col min="1543" max="1543" width="14.42578125" style="8" bestFit="1" customWidth="1"/>
    <col min="1544" max="1544" width="10.42578125" style="8" bestFit="1" customWidth="1"/>
    <col min="1545" max="1545" width="12.28515625" style="8" customWidth="1"/>
    <col min="1546" max="1550" width="11.42578125" style="8" customWidth="1"/>
    <col min="1551" max="1552" width="10.5703125" style="8" bestFit="1" customWidth="1"/>
    <col min="1553" max="1554" width="11.42578125" style="8" customWidth="1"/>
    <col min="1555" max="1555" width="6.140625" style="8" customWidth="1"/>
    <col min="1556" max="1566" width="11.42578125" style="8" customWidth="1"/>
    <col min="1567" max="1796" width="11.42578125" style="8"/>
    <col min="1797" max="1797" width="5.28515625" style="8" customWidth="1"/>
    <col min="1798" max="1798" width="15.28515625" style="8" customWidth="1"/>
    <col min="1799" max="1799" width="14.42578125" style="8" bestFit="1" customWidth="1"/>
    <col min="1800" max="1800" width="10.42578125" style="8" bestFit="1" customWidth="1"/>
    <col min="1801" max="1801" width="12.28515625" style="8" customWidth="1"/>
    <col min="1802" max="1806" width="11.42578125" style="8" customWidth="1"/>
    <col min="1807" max="1808" width="10.5703125" style="8" bestFit="1" customWidth="1"/>
    <col min="1809" max="1810" width="11.42578125" style="8" customWidth="1"/>
    <col min="1811" max="1811" width="6.140625" style="8" customWidth="1"/>
    <col min="1812" max="1822" width="11.42578125" style="8" customWidth="1"/>
    <col min="1823" max="2052" width="11.42578125" style="8"/>
    <col min="2053" max="2053" width="5.28515625" style="8" customWidth="1"/>
    <col min="2054" max="2054" width="15.28515625" style="8" customWidth="1"/>
    <col min="2055" max="2055" width="14.42578125" style="8" bestFit="1" customWidth="1"/>
    <col min="2056" max="2056" width="10.42578125" style="8" bestFit="1" customWidth="1"/>
    <col min="2057" max="2057" width="12.28515625" style="8" customWidth="1"/>
    <col min="2058" max="2062" width="11.42578125" style="8" customWidth="1"/>
    <col min="2063" max="2064" width="10.5703125" style="8" bestFit="1" customWidth="1"/>
    <col min="2065" max="2066" width="11.42578125" style="8" customWidth="1"/>
    <col min="2067" max="2067" width="6.140625" style="8" customWidth="1"/>
    <col min="2068" max="2078" width="11.42578125" style="8" customWidth="1"/>
    <col min="2079" max="2308" width="11.42578125" style="8"/>
    <col min="2309" max="2309" width="5.28515625" style="8" customWidth="1"/>
    <col min="2310" max="2310" width="15.28515625" style="8" customWidth="1"/>
    <col min="2311" max="2311" width="14.42578125" style="8" bestFit="1" customWidth="1"/>
    <col min="2312" max="2312" width="10.42578125" style="8" bestFit="1" customWidth="1"/>
    <col min="2313" max="2313" width="12.28515625" style="8" customWidth="1"/>
    <col min="2314" max="2318" width="11.42578125" style="8" customWidth="1"/>
    <col min="2319" max="2320" width="10.5703125" style="8" bestFit="1" customWidth="1"/>
    <col min="2321" max="2322" width="11.42578125" style="8" customWidth="1"/>
    <col min="2323" max="2323" width="6.140625" style="8" customWidth="1"/>
    <col min="2324" max="2334" width="11.42578125" style="8" customWidth="1"/>
    <col min="2335" max="2564" width="11.42578125" style="8"/>
    <col min="2565" max="2565" width="5.28515625" style="8" customWidth="1"/>
    <col min="2566" max="2566" width="15.28515625" style="8" customWidth="1"/>
    <col min="2567" max="2567" width="14.42578125" style="8" bestFit="1" customWidth="1"/>
    <col min="2568" max="2568" width="10.42578125" style="8" bestFit="1" customWidth="1"/>
    <col min="2569" max="2569" width="12.28515625" style="8" customWidth="1"/>
    <col min="2570" max="2574" width="11.42578125" style="8" customWidth="1"/>
    <col min="2575" max="2576" width="10.5703125" style="8" bestFit="1" customWidth="1"/>
    <col min="2577" max="2578" width="11.42578125" style="8" customWidth="1"/>
    <col min="2579" max="2579" width="6.140625" style="8" customWidth="1"/>
    <col min="2580" max="2590" width="11.42578125" style="8" customWidth="1"/>
    <col min="2591" max="2820" width="11.42578125" style="8"/>
    <col min="2821" max="2821" width="5.28515625" style="8" customWidth="1"/>
    <col min="2822" max="2822" width="15.28515625" style="8" customWidth="1"/>
    <col min="2823" max="2823" width="14.42578125" style="8" bestFit="1" customWidth="1"/>
    <col min="2824" max="2824" width="10.42578125" style="8" bestFit="1" customWidth="1"/>
    <col min="2825" max="2825" width="12.28515625" style="8" customWidth="1"/>
    <col min="2826" max="2830" width="11.42578125" style="8" customWidth="1"/>
    <col min="2831" max="2832" width="10.5703125" style="8" bestFit="1" customWidth="1"/>
    <col min="2833" max="2834" width="11.42578125" style="8" customWidth="1"/>
    <col min="2835" max="2835" width="6.140625" style="8" customWidth="1"/>
    <col min="2836" max="2846" width="11.42578125" style="8" customWidth="1"/>
    <col min="2847" max="3076" width="11.42578125" style="8"/>
    <col min="3077" max="3077" width="5.28515625" style="8" customWidth="1"/>
    <col min="3078" max="3078" width="15.28515625" style="8" customWidth="1"/>
    <col min="3079" max="3079" width="14.42578125" style="8" bestFit="1" customWidth="1"/>
    <col min="3080" max="3080" width="10.42578125" style="8" bestFit="1" customWidth="1"/>
    <col min="3081" max="3081" width="12.28515625" style="8" customWidth="1"/>
    <col min="3082" max="3086" width="11.42578125" style="8" customWidth="1"/>
    <col min="3087" max="3088" width="10.5703125" style="8" bestFit="1" customWidth="1"/>
    <col min="3089" max="3090" width="11.42578125" style="8" customWidth="1"/>
    <col min="3091" max="3091" width="6.140625" style="8" customWidth="1"/>
    <col min="3092" max="3102" width="11.42578125" style="8" customWidth="1"/>
    <col min="3103" max="3332" width="11.42578125" style="8"/>
    <col min="3333" max="3333" width="5.28515625" style="8" customWidth="1"/>
    <col min="3334" max="3334" width="15.28515625" style="8" customWidth="1"/>
    <col min="3335" max="3335" width="14.42578125" style="8" bestFit="1" customWidth="1"/>
    <col min="3336" max="3336" width="10.42578125" style="8" bestFit="1" customWidth="1"/>
    <col min="3337" max="3337" width="12.28515625" style="8" customWidth="1"/>
    <col min="3338" max="3342" width="11.42578125" style="8" customWidth="1"/>
    <col min="3343" max="3344" width="10.5703125" style="8" bestFit="1" customWidth="1"/>
    <col min="3345" max="3346" width="11.42578125" style="8" customWidth="1"/>
    <col min="3347" max="3347" width="6.140625" style="8" customWidth="1"/>
    <col min="3348" max="3358" width="11.42578125" style="8" customWidth="1"/>
    <col min="3359" max="3588" width="11.42578125" style="8"/>
    <col min="3589" max="3589" width="5.28515625" style="8" customWidth="1"/>
    <col min="3590" max="3590" width="15.28515625" style="8" customWidth="1"/>
    <col min="3591" max="3591" width="14.42578125" style="8" bestFit="1" customWidth="1"/>
    <col min="3592" max="3592" width="10.42578125" style="8" bestFit="1" customWidth="1"/>
    <col min="3593" max="3593" width="12.28515625" style="8" customWidth="1"/>
    <col min="3594" max="3598" width="11.42578125" style="8" customWidth="1"/>
    <col min="3599" max="3600" width="10.5703125" style="8" bestFit="1" customWidth="1"/>
    <col min="3601" max="3602" width="11.42578125" style="8" customWidth="1"/>
    <col min="3603" max="3603" width="6.140625" style="8" customWidth="1"/>
    <col min="3604" max="3614" width="11.42578125" style="8" customWidth="1"/>
    <col min="3615" max="3844" width="11.42578125" style="8"/>
    <col min="3845" max="3845" width="5.28515625" style="8" customWidth="1"/>
    <col min="3846" max="3846" width="15.28515625" style="8" customWidth="1"/>
    <col min="3847" max="3847" width="14.42578125" style="8" bestFit="1" customWidth="1"/>
    <col min="3848" max="3848" width="10.42578125" style="8" bestFit="1" customWidth="1"/>
    <col min="3849" max="3849" width="12.28515625" style="8" customWidth="1"/>
    <col min="3850" max="3854" width="11.42578125" style="8" customWidth="1"/>
    <col min="3855" max="3856" width="10.5703125" style="8" bestFit="1" customWidth="1"/>
    <col min="3857" max="3858" width="11.42578125" style="8" customWidth="1"/>
    <col min="3859" max="3859" width="6.140625" style="8" customWidth="1"/>
    <col min="3860" max="3870" width="11.42578125" style="8" customWidth="1"/>
    <col min="3871" max="4100" width="11.42578125" style="8"/>
    <col min="4101" max="4101" width="5.28515625" style="8" customWidth="1"/>
    <col min="4102" max="4102" width="15.28515625" style="8" customWidth="1"/>
    <col min="4103" max="4103" width="14.42578125" style="8" bestFit="1" customWidth="1"/>
    <col min="4104" max="4104" width="10.42578125" style="8" bestFit="1" customWidth="1"/>
    <col min="4105" max="4105" width="12.28515625" style="8" customWidth="1"/>
    <col min="4106" max="4110" width="11.42578125" style="8" customWidth="1"/>
    <col min="4111" max="4112" width="10.5703125" style="8" bestFit="1" customWidth="1"/>
    <col min="4113" max="4114" width="11.42578125" style="8" customWidth="1"/>
    <col min="4115" max="4115" width="6.140625" style="8" customWidth="1"/>
    <col min="4116" max="4126" width="11.42578125" style="8" customWidth="1"/>
    <col min="4127" max="4356" width="11.42578125" style="8"/>
    <col min="4357" max="4357" width="5.28515625" style="8" customWidth="1"/>
    <col min="4358" max="4358" width="15.28515625" style="8" customWidth="1"/>
    <col min="4359" max="4359" width="14.42578125" style="8" bestFit="1" customWidth="1"/>
    <col min="4360" max="4360" width="10.42578125" style="8" bestFit="1" customWidth="1"/>
    <col min="4361" max="4361" width="12.28515625" style="8" customWidth="1"/>
    <col min="4362" max="4366" width="11.42578125" style="8" customWidth="1"/>
    <col min="4367" max="4368" width="10.5703125" style="8" bestFit="1" customWidth="1"/>
    <col min="4369" max="4370" width="11.42578125" style="8" customWidth="1"/>
    <col min="4371" max="4371" width="6.140625" style="8" customWidth="1"/>
    <col min="4372" max="4382" width="11.42578125" style="8" customWidth="1"/>
    <col min="4383" max="4612" width="11.42578125" style="8"/>
    <col min="4613" max="4613" width="5.28515625" style="8" customWidth="1"/>
    <col min="4614" max="4614" width="15.28515625" style="8" customWidth="1"/>
    <col min="4615" max="4615" width="14.42578125" style="8" bestFit="1" customWidth="1"/>
    <col min="4616" max="4616" width="10.42578125" style="8" bestFit="1" customWidth="1"/>
    <col min="4617" max="4617" width="12.28515625" style="8" customWidth="1"/>
    <col min="4618" max="4622" width="11.42578125" style="8" customWidth="1"/>
    <col min="4623" max="4624" width="10.5703125" style="8" bestFit="1" customWidth="1"/>
    <col min="4625" max="4626" width="11.42578125" style="8" customWidth="1"/>
    <col min="4627" max="4627" width="6.140625" style="8" customWidth="1"/>
    <col min="4628" max="4638" width="11.42578125" style="8" customWidth="1"/>
    <col min="4639" max="4868" width="11.42578125" style="8"/>
    <col min="4869" max="4869" width="5.28515625" style="8" customWidth="1"/>
    <col min="4870" max="4870" width="15.28515625" style="8" customWidth="1"/>
    <col min="4871" max="4871" width="14.42578125" style="8" bestFit="1" customWidth="1"/>
    <col min="4872" max="4872" width="10.42578125" style="8" bestFit="1" customWidth="1"/>
    <col min="4873" max="4873" width="12.28515625" style="8" customWidth="1"/>
    <col min="4874" max="4878" width="11.42578125" style="8" customWidth="1"/>
    <col min="4879" max="4880" width="10.5703125" style="8" bestFit="1" customWidth="1"/>
    <col min="4881" max="4882" width="11.42578125" style="8" customWidth="1"/>
    <col min="4883" max="4883" width="6.140625" style="8" customWidth="1"/>
    <col min="4884" max="4894" width="11.42578125" style="8" customWidth="1"/>
    <col min="4895" max="5124" width="11.42578125" style="8"/>
    <col min="5125" max="5125" width="5.28515625" style="8" customWidth="1"/>
    <col min="5126" max="5126" width="15.28515625" style="8" customWidth="1"/>
    <col min="5127" max="5127" width="14.42578125" style="8" bestFit="1" customWidth="1"/>
    <col min="5128" max="5128" width="10.42578125" style="8" bestFit="1" customWidth="1"/>
    <col min="5129" max="5129" width="12.28515625" style="8" customWidth="1"/>
    <col min="5130" max="5134" width="11.42578125" style="8" customWidth="1"/>
    <col min="5135" max="5136" width="10.5703125" style="8" bestFit="1" customWidth="1"/>
    <col min="5137" max="5138" width="11.42578125" style="8" customWidth="1"/>
    <col min="5139" max="5139" width="6.140625" style="8" customWidth="1"/>
    <col min="5140" max="5150" width="11.42578125" style="8" customWidth="1"/>
    <col min="5151" max="5380" width="11.42578125" style="8"/>
    <col min="5381" max="5381" width="5.28515625" style="8" customWidth="1"/>
    <col min="5382" max="5382" width="15.28515625" style="8" customWidth="1"/>
    <col min="5383" max="5383" width="14.42578125" style="8" bestFit="1" customWidth="1"/>
    <col min="5384" max="5384" width="10.42578125" style="8" bestFit="1" customWidth="1"/>
    <col min="5385" max="5385" width="12.28515625" style="8" customWidth="1"/>
    <col min="5386" max="5390" width="11.42578125" style="8" customWidth="1"/>
    <col min="5391" max="5392" width="10.5703125" style="8" bestFit="1" customWidth="1"/>
    <col min="5393" max="5394" width="11.42578125" style="8" customWidth="1"/>
    <col min="5395" max="5395" width="6.140625" style="8" customWidth="1"/>
    <col min="5396" max="5406" width="11.42578125" style="8" customWidth="1"/>
    <col min="5407" max="5636" width="11.42578125" style="8"/>
    <col min="5637" max="5637" width="5.28515625" style="8" customWidth="1"/>
    <col min="5638" max="5638" width="15.28515625" style="8" customWidth="1"/>
    <col min="5639" max="5639" width="14.42578125" style="8" bestFit="1" customWidth="1"/>
    <col min="5640" max="5640" width="10.42578125" style="8" bestFit="1" customWidth="1"/>
    <col min="5641" max="5641" width="12.28515625" style="8" customWidth="1"/>
    <col min="5642" max="5646" width="11.42578125" style="8" customWidth="1"/>
    <col min="5647" max="5648" width="10.5703125" style="8" bestFit="1" customWidth="1"/>
    <col min="5649" max="5650" width="11.42578125" style="8" customWidth="1"/>
    <col min="5651" max="5651" width="6.140625" style="8" customWidth="1"/>
    <col min="5652" max="5662" width="11.42578125" style="8" customWidth="1"/>
    <col min="5663" max="5892" width="11.42578125" style="8"/>
    <col min="5893" max="5893" width="5.28515625" style="8" customWidth="1"/>
    <col min="5894" max="5894" width="15.28515625" style="8" customWidth="1"/>
    <col min="5895" max="5895" width="14.42578125" style="8" bestFit="1" customWidth="1"/>
    <col min="5896" max="5896" width="10.42578125" style="8" bestFit="1" customWidth="1"/>
    <col min="5897" max="5897" width="12.28515625" style="8" customWidth="1"/>
    <col min="5898" max="5902" width="11.42578125" style="8" customWidth="1"/>
    <col min="5903" max="5904" width="10.5703125" style="8" bestFit="1" customWidth="1"/>
    <col min="5905" max="5906" width="11.42578125" style="8" customWidth="1"/>
    <col min="5907" max="5907" width="6.140625" style="8" customWidth="1"/>
    <col min="5908" max="5918" width="11.42578125" style="8" customWidth="1"/>
    <col min="5919" max="6148" width="11.42578125" style="8"/>
    <col min="6149" max="6149" width="5.28515625" style="8" customWidth="1"/>
    <col min="6150" max="6150" width="15.28515625" style="8" customWidth="1"/>
    <col min="6151" max="6151" width="14.42578125" style="8" bestFit="1" customWidth="1"/>
    <col min="6152" max="6152" width="10.42578125" style="8" bestFit="1" customWidth="1"/>
    <col min="6153" max="6153" width="12.28515625" style="8" customWidth="1"/>
    <col min="6154" max="6158" width="11.42578125" style="8" customWidth="1"/>
    <col min="6159" max="6160" width="10.5703125" style="8" bestFit="1" customWidth="1"/>
    <col min="6161" max="6162" width="11.42578125" style="8" customWidth="1"/>
    <col min="6163" max="6163" width="6.140625" style="8" customWidth="1"/>
    <col min="6164" max="6174" width="11.42578125" style="8" customWidth="1"/>
    <col min="6175" max="6404" width="11.42578125" style="8"/>
    <col min="6405" max="6405" width="5.28515625" style="8" customWidth="1"/>
    <col min="6406" max="6406" width="15.28515625" style="8" customWidth="1"/>
    <col min="6407" max="6407" width="14.42578125" style="8" bestFit="1" customWidth="1"/>
    <col min="6408" max="6408" width="10.42578125" style="8" bestFit="1" customWidth="1"/>
    <col min="6409" max="6409" width="12.28515625" style="8" customWidth="1"/>
    <col min="6410" max="6414" width="11.42578125" style="8" customWidth="1"/>
    <col min="6415" max="6416" width="10.5703125" style="8" bestFit="1" customWidth="1"/>
    <col min="6417" max="6418" width="11.42578125" style="8" customWidth="1"/>
    <col min="6419" max="6419" width="6.140625" style="8" customWidth="1"/>
    <col min="6420" max="6430" width="11.42578125" style="8" customWidth="1"/>
    <col min="6431" max="6660" width="11.42578125" style="8"/>
    <col min="6661" max="6661" width="5.28515625" style="8" customWidth="1"/>
    <col min="6662" max="6662" width="15.28515625" style="8" customWidth="1"/>
    <col min="6663" max="6663" width="14.42578125" style="8" bestFit="1" customWidth="1"/>
    <col min="6664" max="6664" width="10.42578125" style="8" bestFit="1" customWidth="1"/>
    <col min="6665" max="6665" width="12.28515625" style="8" customWidth="1"/>
    <col min="6666" max="6670" width="11.42578125" style="8" customWidth="1"/>
    <col min="6671" max="6672" width="10.5703125" style="8" bestFit="1" customWidth="1"/>
    <col min="6673" max="6674" width="11.42578125" style="8" customWidth="1"/>
    <col min="6675" max="6675" width="6.140625" style="8" customWidth="1"/>
    <col min="6676" max="6686" width="11.42578125" style="8" customWidth="1"/>
    <col min="6687" max="6916" width="11.42578125" style="8"/>
    <col min="6917" max="6917" width="5.28515625" style="8" customWidth="1"/>
    <col min="6918" max="6918" width="15.28515625" style="8" customWidth="1"/>
    <col min="6919" max="6919" width="14.42578125" style="8" bestFit="1" customWidth="1"/>
    <col min="6920" max="6920" width="10.42578125" style="8" bestFit="1" customWidth="1"/>
    <col min="6921" max="6921" width="12.28515625" style="8" customWidth="1"/>
    <col min="6922" max="6926" width="11.42578125" style="8" customWidth="1"/>
    <col min="6927" max="6928" width="10.5703125" style="8" bestFit="1" customWidth="1"/>
    <col min="6929" max="6930" width="11.42578125" style="8" customWidth="1"/>
    <col min="6931" max="6931" width="6.140625" style="8" customWidth="1"/>
    <col min="6932" max="6942" width="11.42578125" style="8" customWidth="1"/>
    <col min="6943" max="7172" width="11.42578125" style="8"/>
    <col min="7173" max="7173" width="5.28515625" style="8" customWidth="1"/>
    <col min="7174" max="7174" width="15.28515625" style="8" customWidth="1"/>
    <col min="7175" max="7175" width="14.42578125" style="8" bestFit="1" customWidth="1"/>
    <col min="7176" max="7176" width="10.42578125" style="8" bestFit="1" customWidth="1"/>
    <col min="7177" max="7177" width="12.28515625" style="8" customWidth="1"/>
    <col min="7178" max="7182" width="11.42578125" style="8" customWidth="1"/>
    <col min="7183" max="7184" width="10.5703125" style="8" bestFit="1" customWidth="1"/>
    <col min="7185" max="7186" width="11.42578125" style="8" customWidth="1"/>
    <col min="7187" max="7187" width="6.140625" style="8" customWidth="1"/>
    <col min="7188" max="7198" width="11.42578125" style="8" customWidth="1"/>
    <col min="7199" max="7428" width="11.42578125" style="8"/>
    <col min="7429" max="7429" width="5.28515625" style="8" customWidth="1"/>
    <col min="7430" max="7430" width="15.28515625" style="8" customWidth="1"/>
    <col min="7431" max="7431" width="14.42578125" style="8" bestFit="1" customWidth="1"/>
    <col min="7432" max="7432" width="10.42578125" style="8" bestFit="1" customWidth="1"/>
    <col min="7433" max="7433" width="12.28515625" style="8" customWidth="1"/>
    <col min="7434" max="7438" width="11.42578125" style="8" customWidth="1"/>
    <col min="7439" max="7440" width="10.5703125" style="8" bestFit="1" customWidth="1"/>
    <col min="7441" max="7442" width="11.42578125" style="8" customWidth="1"/>
    <col min="7443" max="7443" width="6.140625" style="8" customWidth="1"/>
    <col min="7444" max="7454" width="11.42578125" style="8" customWidth="1"/>
    <col min="7455" max="7684" width="11.42578125" style="8"/>
    <col min="7685" max="7685" width="5.28515625" style="8" customWidth="1"/>
    <col min="7686" max="7686" width="15.28515625" style="8" customWidth="1"/>
    <col min="7687" max="7687" width="14.42578125" style="8" bestFit="1" customWidth="1"/>
    <col min="7688" max="7688" width="10.42578125" style="8" bestFit="1" customWidth="1"/>
    <col min="7689" max="7689" width="12.28515625" style="8" customWidth="1"/>
    <col min="7690" max="7694" width="11.42578125" style="8" customWidth="1"/>
    <col min="7695" max="7696" width="10.5703125" style="8" bestFit="1" customWidth="1"/>
    <col min="7697" max="7698" width="11.42578125" style="8" customWidth="1"/>
    <col min="7699" max="7699" width="6.140625" style="8" customWidth="1"/>
    <col min="7700" max="7710" width="11.42578125" style="8" customWidth="1"/>
    <col min="7711" max="7940" width="11.42578125" style="8"/>
    <col min="7941" max="7941" width="5.28515625" style="8" customWidth="1"/>
    <col min="7942" max="7942" width="15.28515625" style="8" customWidth="1"/>
    <col min="7943" max="7943" width="14.42578125" style="8" bestFit="1" customWidth="1"/>
    <col min="7944" max="7944" width="10.42578125" style="8" bestFit="1" customWidth="1"/>
    <col min="7945" max="7945" width="12.28515625" style="8" customWidth="1"/>
    <col min="7946" max="7950" width="11.42578125" style="8" customWidth="1"/>
    <col min="7951" max="7952" width="10.5703125" style="8" bestFit="1" customWidth="1"/>
    <col min="7953" max="7954" width="11.42578125" style="8" customWidth="1"/>
    <col min="7955" max="7955" width="6.140625" style="8" customWidth="1"/>
    <col min="7956" max="7966" width="11.42578125" style="8" customWidth="1"/>
    <col min="7967" max="8196" width="11.42578125" style="8"/>
    <col min="8197" max="8197" width="5.28515625" style="8" customWidth="1"/>
    <col min="8198" max="8198" width="15.28515625" style="8" customWidth="1"/>
    <col min="8199" max="8199" width="14.42578125" style="8" bestFit="1" customWidth="1"/>
    <col min="8200" max="8200" width="10.42578125" style="8" bestFit="1" customWidth="1"/>
    <col min="8201" max="8201" width="12.28515625" style="8" customWidth="1"/>
    <col min="8202" max="8206" width="11.42578125" style="8" customWidth="1"/>
    <col min="8207" max="8208" width="10.5703125" style="8" bestFit="1" customWidth="1"/>
    <col min="8209" max="8210" width="11.42578125" style="8" customWidth="1"/>
    <col min="8211" max="8211" width="6.140625" style="8" customWidth="1"/>
    <col min="8212" max="8222" width="11.42578125" style="8" customWidth="1"/>
    <col min="8223" max="8452" width="11.42578125" style="8"/>
    <col min="8453" max="8453" width="5.28515625" style="8" customWidth="1"/>
    <col min="8454" max="8454" width="15.28515625" style="8" customWidth="1"/>
    <col min="8455" max="8455" width="14.42578125" style="8" bestFit="1" customWidth="1"/>
    <col min="8456" max="8456" width="10.42578125" style="8" bestFit="1" customWidth="1"/>
    <col min="8457" max="8457" width="12.28515625" style="8" customWidth="1"/>
    <col min="8458" max="8462" width="11.42578125" style="8" customWidth="1"/>
    <col min="8463" max="8464" width="10.5703125" style="8" bestFit="1" customWidth="1"/>
    <col min="8465" max="8466" width="11.42578125" style="8" customWidth="1"/>
    <col min="8467" max="8467" width="6.140625" style="8" customWidth="1"/>
    <col min="8468" max="8478" width="11.42578125" style="8" customWidth="1"/>
    <col min="8479" max="8708" width="11.42578125" style="8"/>
    <col min="8709" max="8709" width="5.28515625" style="8" customWidth="1"/>
    <col min="8710" max="8710" width="15.28515625" style="8" customWidth="1"/>
    <col min="8711" max="8711" width="14.42578125" style="8" bestFit="1" customWidth="1"/>
    <col min="8712" max="8712" width="10.42578125" style="8" bestFit="1" customWidth="1"/>
    <col min="8713" max="8713" width="12.28515625" style="8" customWidth="1"/>
    <col min="8714" max="8718" width="11.42578125" style="8" customWidth="1"/>
    <col min="8719" max="8720" width="10.5703125" style="8" bestFit="1" customWidth="1"/>
    <col min="8721" max="8722" width="11.42578125" style="8" customWidth="1"/>
    <col min="8723" max="8723" width="6.140625" style="8" customWidth="1"/>
    <col min="8724" max="8734" width="11.42578125" style="8" customWidth="1"/>
    <col min="8735" max="8964" width="11.42578125" style="8"/>
    <col min="8965" max="8965" width="5.28515625" style="8" customWidth="1"/>
    <col min="8966" max="8966" width="15.28515625" style="8" customWidth="1"/>
    <col min="8967" max="8967" width="14.42578125" style="8" bestFit="1" customWidth="1"/>
    <col min="8968" max="8968" width="10.42578125" style="8" bestFit="1" customWidth="1"/>
    <col min="8969" max="8969" width="12.28515625" style="8" customWidth="1"/>
    <col min="8970" max="8974" width="11.42578125" style="8" customWidth="1"/>
    <col min="8975" max="8976" width="10.5703125" style="8" bestFit="1" customWidth="1"/>
    <col min="8977" max="8978" width="11.42578125" style="8" customWidth="1"/>
    <col min="8979" max="8979" width="6.140625" style="8" customWidth="1"/>
    <col min="8980" max="8990" width="11.42578125" style="8" customWidth="1"/>
    <col min="8991" max="9220" width="11.42578125" style="8"/>
    <col min="9221" max="9221" width="5.28515625" style="8" customWidth="1"/>
    <col min="9222" max="9222" width="15.28515625" style="8" customWidth="1"/>
    <col min="9223" max="9223" width="14.42578125" style="8" bestFit="1" customWidth="1"/>
    <col min="9224" max="9224" width="10.42578125" style="8" bestFit="1" customWidth="1"/>
    <col min="9225" max="9225" width="12.28515625" style="8" customWidth="1"/>
    <col min="9226" max="9230" width="11.42578125" style="8" customWidth="1"/>
    <col min="9231" max="9232" width="10.5703125" style="8" bestFit="1" customWidth="1"/>
    <col min="9233" max="9234" width="11.42578125" style="8" customWidth="1"/>
    <col min="9235" max="9235" width="6.140625" style="8" customWidth="1"/>
    <col min="9236" max="9246" width="11.42578125" style="8" customWidth="1"/>
    <col min="9247" max="9476" width="11.42578125" style="8"/>
    <col min="9477" max="9477" width="5.28515625" style="8" customWidth="1"/>
    <col min="9478" max="9478" width="15.28515625" style="8" customWidth="1"/>
    <col min="9479" max="9479" width="14.42578125" style="8" bestFit="1" customWidth="1"/>
    <col min="9480" max="9480" width="10.42578125" style="8" bestFit="1" customWidth="1"/>
    <col min="9481" max="9481" width="12.28515625" style="8" customWidth="1"/>
    <col min="9482" max="9486" width="11.42578125" style="8" customWidth="1"/>
    <col min="9487" max="9488" width="10.5703125" style="8" bestFit="1" customWidth="1"/>
    <col min="9489" max="9490" width="11.42578125" style="8" customWidth="1"/>
    <col min="9491" max="9491" width="6.140625" style="8" customWidth="1"/>
    <col min="9492" max="9502" width="11.42578125" style="8" customWidth="1"/>
    <col min="9503" max="9732" width="11.42578125" style="8"/>
    <col min="9733" max="9733" width="5.28515625" style="8" customWidth="1"/>
    <col min="9734" max="9734" width="15.28515625" style="8" customWidth="1"/>
    <col min="9735" max="9735" width="14.42578125" style="8" bestFit="1" customWidth="1"/>
    <col min="9736" max="9736" width="10.42578125" style="8" bestFit="1" customWidth="1"/>
    <col min="9737" max="9737" width="12.28515625" style="8" customWidth="1"/>
    <col min="9738" max="9742" width="11.42578125" style="8" customWidth="1"/>
    <col min="9743" max="9744" width="10.5703125" style="8" bestFit="1" customWidth="1"/>
    <col min="9745" max="9746" width="11.42578125" style="8" customWidth="1"/>
    <col min="9747" max="9747" width="6.140625" style="8" customWidth="1"/>
    <col min="9748" max="9758" width="11.42578125" style="8" customWidth="1"/>
    <col min="9759" max="9988" width="11.42578125" style="8"/>
    <col min="9989" max="9989" width="5.28515625" style="8" customWidth="1"/>
    <col min="9990" max="9990" width="15.28515625" style="8" customWidth="1"/>
    <col min="9991" max="9991" width="14.42578125" style="8" bestFit="1" customWidth="1"/>
    <col min="9992" max="9992" width="10.42578125" style="8" bestFit="1" customWidth="1"/>
    <col min="9993" max="9993" width="12.28515625" style="8" customWidth="1"/>
    <col min="9994" max="9998" width="11.42578125" style="8" customWidth="1"/>
    <col min="9999" max="10000" width="10.5703125" style="8" bestFit="1" customWidth="1"/>
    <col min="10001" max="10002" width="11.42578125" style="8" customWidth="1"/>
    <col min="10003" max="10003" width="6.140625" style="8" customWidth="1"/>
    <col min="10004" max="10014" width="11.42578125" style="8" customWidth="1"/>
    <col min="10015" max="10244" width="11.42578125" style="8"/>
    <col min="10245" max="10245" width="5.28515625" style="8" customWidth="1"/>
    <col min="10246" max="10246" width="15.28515625" style="8" customWidth="1"/>
    <col min="10247" max="10247" width="14.42578125" style="8" bestFit="1" customWidth="1"/>
    <col min="10248" max="10248" width="10.42578125" style="8" bestFit="1" customWidth="1"/>
    <col min="10249" max="10249" width="12.28515625" style="8" customWidth="1"/>
    <col min="10250" max="10254" width="11.42578125" style="8" customWidth="1"/>
    <col min="10255" max="10256" width="10.5703125" style="8" bestFit="1" customWidth="1"/>
    <col min="10257" max="10258" width="11.42578125" style="8" customWidth="1"/>
    <col min="10259" max="10259" width="6.140625" style="8" customWidth="1"/>
    <col min="10260" max="10270" width="11.42578125" style="8" customWidth="1"/>
    <col min="10271" max="10500" width="11.42578125" style="8"/>
    <col min="10501" max="10501" width="5.28515625" style="8" customWidth="1"/>
    <col min="10502" max="10502" width="15.28515625" style="8" customWidth="1"/>
    <col min="10503" max="10503" width="14.42578125" style="8" bestFit="1" customWidth="1"/>
    <col min="10504" max="10504" width="10.42578125" style="8" bestFit="1" customWidth="1"/>
    <col min="10505" max="10505" width="12.28515625" style="8" customWidth="1"/>
    <col min="10506" max="10510" width="11.42578125" style="8" customWidth="1"/>
    <col min="10511" max="10512" width="10.5703125" style="8" bestFit="1" customWidth="1"/>
    <col min="10513" max="10514" width="11.42578125" style="8" customWidth="1"/>
    <col min="10515" max="10515" width="6.140625" style="8" customWidth="1"/>
    <col min="10516" max="10526" width="11.42578125" style="8" customWidth="1"/>
    <col min="10527" max="10756" width="11.42578125" style="8"/>
    <col min="10757" max="10757" width="5.28515625" style="8" customWidth="1"/>
    <col min="10758" max="10758" width="15.28515625" style="8" customWidth="1"/>
    <col min="10759" max="10759" width="14.42578125" style="8" bestFit="1" customWidth="1"/>
    <col min="10760" max="10760" width="10.42578125" style="8" bestFit="1" customWidth="1"/>
    <col min="10761" max="10761" width="12.28515625" style="8" customWidth="1"/>
    <col min="10762" max="10766" width="11.42578125" style="8" customWidth="1"/>
    <col min="10767" max="10768" width="10.5703125" style="8" bestFit="1" customWidth="1"/>
    <col min="10769" max="10770" width="11.42578125" style="8" customWidth="1"/>
    <col min="10771" max="10771" width="6.140625" style="8" customWidth="1"/>
    <col min="10772" max="10782" width="11.42578125" style="8" customWidth="1"/>
    <col min="10783" max="11012" width="11.42578125" style="8"/>
    <col min="11013" max="11013" width="5.28515625" style="8" customWidth="1"/>
    <col min="11014" max="11014" width="15.28515625" style="8" customWidth="1"/>
    <col min="11015" max="11015" width="14.42578125" style="8" bestFit="1" customWidth="1"/>
    <col min="11016" max="11016" width="10.42578125" style="8" bestFit="1" customWidth="1"/>
    <col min="11017" max="11017" width="12.28515625" style="8" customWidth="1"/>
    <col min="11018" max="11022" width="11.42578125" style="8" customWidth="1"/>
    <col min="11023" max="11024" width="10.5703125" style="8" bestFit="1" customWidth="1"/>
    <col min="11025" max="11026" width="11.42578125" style="8" customWidth="1"/>
    <col min="11027" max="11027" width="6.140625" style="8" customWidth="1"/>
    <col min="11028" max="11038" width="11.42578125" style="8" customWidth="1"/>
    <col min="11039" max="11268" width="11.42578125" style="8"/>
    <col min="11269" max="11269" width="5.28515625" style="8" customWidth="1"/>
    <col min="11270" max="11270" width="15.28515625" style="8" customWidth="1"/>
    <col min="11271" max="11271" width="14.42578125" style="8" bestFit="1" customWidth="1"/>
    <col min="11272" max="11272" width="10.42578125" style="8" bestFit="1" customWidth="1"/>
    <col min="11273" max="11273" width="12.28515625" style="8" customWidth="1"/>
    <col min="11274" max="11278" width="11.42578125" style="8" customWidth="1"/>
    <col min="11279" max="11280" width="10.5703125" style="8" bestFit="1" customWidth="1"/>
    <col min="11281" max="11282" width="11.42578125" style="8" customWidth="1"/>
    <col min="11283" max="11283" width="6.140625" style="8" customWidth="1"/>
    <col min="11284" max="11294" width="11.42578125" style="8" customWidth="1"/>
    <col min="11295" max="11524" width="11.42578125" style="8"/>
    <col min="11525" max="11525" width="5.28515625" style="8" customWidth="1"/>
    <col min="11526" max="11526" width="15.28515625" style="8" customWidth="1"/>
    <col min="11527" max="11527" width="14.42578125" style="8" bestFit="1" customWidth="1"/>
    <col min="11528" max="11528" width="10.42578125" style="8" bestFit="1" customWidth="1"/>
    <col min="11529" max="11529" width="12.28515625" style="8" customWidth="1"/>
    <col min="11530" max="11534" width="11.42578125" style="8" customWidth="1"/>
    <col min="11535" max="11536" width="10.5703125" style="8" bestFit="1" customWidth="1"/>
    <col min="11537" max="11538" width="11.42578125" style="8" customWidth="1"/>
    <col min="11539" max="11539" width="6.140625" style="8" customWidth="1"/>
    <col min="11540" max="11550" width="11.42578125" style="8" customWidth="1"/>
    <col min="11551" max="11780" width="11.42578125" style="8"/>
    <col min="11781" max="11781" width="5.28515625" style="8" customWidth="1"/>
    <col min="11782" max="11782" width="15.28515625" style="8" customWidth="1"/>
    <col min="11783" max="11783" width="14.42578125" style="8" bestFit="1" customWidth="1"/>
    <col min="11784" max="11784" width="10.42578125" style="8" bestFit="1" customWidth="1"/>
    <col min="11785" max="11785" width="12.28515625" style="8" customWidth="1"/>
    <col min="11786" max="11790" width="11.42578125" style="8" customWidth="1"/>
    <col min="11791" max="11792" width="10.5703125" style="8" bestFit="1" customWidth="1"/>
    <col min="11793" max="11794" width="11.42578125" style="8" customWidth="1"/>
    <col min="11795" max="11795" width="6.140625" style="8" customWidth="1"/>
    <col min="11796" max="11806" width="11.42578125" style="8" customWidth="1"/>
    <col min="11807" max="12036" width="11.42578125" style="8"/>
    <col min="12037" max="12037" width="5.28515625" style="8" customWidth="1"/>
    <col min="12038" max="12038" width="15.28515625" style="8" customWidth="1"/>
    <col min="12039" max="12039" width="14.42578125" style="8" bestFit="1" customWidth="1"/>
    <col min="12040" max="12040" width="10.42578125" style="8" bestFit="1" customWidth="1"/>
    <col min="12041" max="12041" width="12.28515625" style="8" customWidth="1"/>
    <col min="12042" max="12046" width="11.42578125" style="8" customWidth="1"/>
    <col min="12047" max="12048" width="10.5703125" style="8" bestFit="1" customWidth="1"/>
    <col min="12049" max="12050" width="11.42578125" style="8" customWidth="1"/>
    <col min="12051" max="12051" width="6.140625" style="8" customWidth="1"/>
    <col min="12052" max="12062" width="11.42578125" style="8" customWidth="1"/>
    <col min="12063" max="12292" width="11.42578125" style="8"/>
    <col min="12293" max="12293" width="5.28515625" style="8" customWidth="1"/>
    <col min="12294" max="12294" width="15.28515625" style="8" customWidth="1"/>
    <col min="12295" max="12295" width="14.42578125" style="8" bestFit="1" customWidth="1"/>
    <col min="12296" max="12296" width="10.42578125" style="8" bestFit="1" customWidth="1"/>
    <col min="12297" max="12297" width="12.28515625" style="8" customWidth="1"/>
    <col min="12298" max="12302" width="11.42578125" style="8" customWidth="1"/>
    <col min="12303" max="12304" width="10.5703125" style="8" bestFit="1" customWidth="1"/>
    <col min="12305" max="12306" width="11.42578125" style="8" customWidth="1"/>
    <col min="12307" max="12307" width="6.140625" style="8" customWidth="1"/>
    <col min="12308" max="12318" width="11.42578125" style="8" customWidth="1"/>
    <col min="12319" max="12548" width="11.42578125" style="8"/>
    <col min="12549" max="12549" width="5.28515625" style="8" customWidth="1"/>
    <col min="12550" max="12550" width="15.28515625" style="8" customWidth="1"/>
    <col min="12551" max="12551" width="14.42578125" style="8" bestFit="1" customWidth="1"/>
    <col min="12552" max="12552" width="10.42578125" style="8" bestFit="1" customWidth="1"/>
    <col min="12553" max="12553" width="12.28515625" style="8" customWidth="1"/>
    <col min="12554" max="12558" width="11.42578125" style="8" customWidth="1"/>
    <col min="12559" max="12560" width="10.5703125" style="8" bestFit="1" customWidth="1"/>
    <col min="12561" max="12562" width="11.42578125" style="8" customWidth="1"/>
    <col min="12563" max="12563" width="6.140625" style="8" customWidth="1"/>
    <col min="12564" max="12574" width="11.42578125" style="8" customWidth="1"/>
    <col min="12575" max="12804" width="11.42578125" style="8"/>
    <col min="12805" max="12805" width="5.28515625" style="8" customWidth="1"/>
    <col min="12806" max="12806" width="15.28515625" style="8" customWidth="1"/>
    <col min="12807" max="12807" width="14.42578125" style="8" bestFit="1" customWidth="1"/>
    <col min="12808" max="12808" width="10.42578125" style="8" bestFit="1" customWidth="1"/>
    <col min="12809" max="12809" width="12.28515625" style="8" customWidth="1"/>
    <col min="12810" max="12814" width="11.42578125" style="8" customWidth="1"/>
    <col min="12815" max="12816" width="10.5703125" style="8" bestFit="1" customWidth="1"/>
    <col min="12817" max="12818" width="11.42578125" style="8" customWidth="1"/>
    <col min="12819" max="12819" width="6.140625" style="8" customWidth="1"/>
    <col min="12820" max="12830" width="11.42578125" style="8" customWidth="1"/>
    <col min="12831" max="13060" width="11.42578125" style="8"/>
    <col min="13061" max="13061" width="5.28515625" style="8" customWidth="1"/>
    <col min="13062" max="13062" width="15.28515625" style="8" customWidth="1"/>
    <col min="13063" max="13063" width="14.42578125" style="8" bestFit="1" customWidth="1"/>
    <col min="13064" max="13064" width="10.42578125" style="8" bestFit="1" customWidth="1"/>
    <col min="13065" max="13065" width="12.28515625" style="8" customWidth="1"/>
    <col min="13066" max="13070" width="11.42578125" style="8" customWidth="1"/>
    <col min="13071" max="13072" width="10.5703125" style="8" bestFit="1" customWidth="1"/>
    <col min="13073" max="13074" width="11.42578125" style="8" customWidth="1"/>
    <col min="13075" max="13075" width="6.140625" style="8" customWidth="1"/>
    <col min="13076" max="13086" width="11.42578125" style="8" customWidth="1"/>
    <col min="13087" max="13316" width="11.42578125" style="8"/>
    <col min="13317" max="13317" width="5.28515625" style="8" customWidth="1"/>
    <col min="13318" max="13318" width="15.28515625" style="8" customWidth="1"/>
    <col min="13319" max="13319" width="14.42578125" style="8" bestFit="1" customWidth="1"/>
    <col min="13320" max="13320" width="10.42578125" style="8" bestFit="1" customWidth="1"/>
    <col min="13321" max="13321" width="12.28515625" style="8" customWidth="1"/>
    <col min="13322" max="13326" width="11.42578125" style="8" customWidth="1"/>
    <col min="13327" max="13328" width="10.5703125" style="8" bestFit="1" customWidth="1"/>
    <col min="13329" max="13330" width="11.42578125" style="8" customWidth="1"/>
    <col min="13331" max="13331" width="6.140625" style="8" customWidth="1"/>
    <col min="13332" max="13342" width="11.42578125" style="8" customWidth="1"/>
    <col min="13343" max="13572" width="11.42578125" style="8"/>
    <col min="13573" max="13573" width="5.28515625" style="8" customWidth="1"/>
    <col min="13574" max="13574" width="15.28515625" style="8" customWidth="1"/>
    <col min="13575" max="13575" width="14.42578125" style="8" bestFit="1" customWidth="1"/>
    <col min="13576" max="13576" width="10.42578125" style="8" bestFit="1" customWidth="1"/>
    <col min="13577" max="13577" width="12.28515625" style="8" customWidth="1"/>
    <col min="13578" max="13582" width="11.42578125" style="8" customWidth="1"/>
    <col min="13583" max="13584" width="10.5703125" style="8" bestFit="1" customWidth="1"/>
    <col min="13585" max="13586" width="11.42578125" style="8" customWidth="1"/>
    <col min="13587" max="13587" width="6.140625" style="8" customWidth="1"/>
    <col min="13588" max="13598" width="11.42578125" style="8" customWidth="1"/>
    <col min="13599" max="13828" width="11.42578125" style="8"/>
    <col min="13829" max="13829" width="5.28515625" style="8" customWidth="1"/>
    <col min="13830" max="13830" width="15.28515625" style="8" customWidth="1"/>
    <col min="13831" max="13831" width="14.42578125" style="8" bestFit="1" customWidth="1"/>
    <col min="13832" max="13832" width="10.42578125" style="8" bestFit="1" customWidth="1"/>
    <col min="13833" max="13833" width="12.28515625" style="8" customWidth="1"/>
    <col min="13834" max="13838" width="11.42578125" style="8" customWidth="1"/>
    <col min="13839" max="13840" width="10.5703125" style="8" bestFit="1" customWidth="1"/>
    <col min="13841" max="13842" width="11.42578125" style="8" customWidth="1"/>
    <col min="13843" max="13843" width="6.140625" style="8" customWidth="1"/>
    <col min="13844" max="13854" width="11.42578125" style="8" customWidth="1"/>
    <col min="13855" max="14084" width="11.42578125" style="8"/>
    <col min="14085" max="14085" width="5.28515625" style="8" customWidth="1"/>
    <col min="14086" max="14086" width="15.28515625" style="8" customWidth="1"/>
    <col min="14087" max="14087" width="14.42578125" style="8" bestFit="1" customWidth="1"/>
    <col min="14088" max="14088" width="10.42578125" style="8" bestFit="1" customWidth="1"/>
    <col min="14089" max="14089" width="12.28515625" style="8" customWidth="1"/>
    <col min="14090" max="14094" width="11.42578125" style="8" customWidth="1"/>
    <col min="14095" max="14096" width="10.5703125" style="8" bestFit="1" customWidth="1"/>
    <col min="14097" max="14098" width="11.42578125" style="8" customWidth="1"/>
    <col min="14099" max="14099" width="6.140625" style="8" customWidth="1"/>
    <col min="14100" max="14110" width="11.42578125" style="8" customWidth="1"/>
    <col min="14111" max="14340" width="11.42578125" style="8"/>
    <col min="14341" max="14341" width="5.28515625" style="8" customWidth="1"/>
    <col min="14342" max="14342" width="15.28515625" style="8" customWidth="1"/>
    <col min="14343" max="14343" width="14.42578125" style="8" bestFit="1" customWidth="1"/>
    <col min="14344" max="14344" width="10.42578125" style="8" bestFit="1" customWidth="1"/>
    <col min="14345" max="14345" width="12.28515625" style="8" customWidth="1"/>
    <col min="14346" max="14350" width="11.42578125" style="8" customWidth="1"/>
    <col min="14351" max="14352" width="10.5703125" style="8" bestFit="1" customWidth="1"/>
    <col min="14353" max="14354" width="11.42578125" style="8" customWidth="1"/>
    <col min="14355" max="14355" width="6.140625" style="8" customWidth="1"/>
    <col min="14356" max="14366" width="11.42578125" style="8" customWidth="1"/>
    <col min="14367" max="14596" width="11.42578125" style="8"/>
    <col min="14597" max="14597" width="5.28515625" style="8" customWidth="1"/>
    <col min="14598" max="14598" width="15.28515625" style="8" customWidth="1"/>
    <col min="14599" max="14599" width="14.42578125" style="8" bestFit="1" customWidth="1"/>
    <col min="14600" max="14600" width="10.42578125" style="8" bestFit="1" customWidth="1"/>
    <col min="14601" max="14601" width="12.28515625" style="8" customWidth="1"/>
    <col min="14602" max="14606" width="11.42578125" style="8" customWidth="1"/>
    <col min="14607" max="14608" width="10.5703125" style="8" bestFit="1" customWidth="1"/>
    <col min="14609" max="14610" width="11.42578125" style="8" customWidth="1"/>
    <col min="14611" max="14611" width="6.140625" style="8" customWidth="1"/>
    <col min="14612" max="14622" width="11.42578125" style="8" customWidth="1"/>
    <col min="14623" max="14852" width="11.42578125" style="8"/>
    <col min="14853" max="14853" width="5.28515625" style="8" customWidth="1"/>
    <col min="14854" max="14854" width="15.28515625" style="8" customWidth="1"/>
    <col min="14855" max="14855" width="14.42578125" style="8" bestFit="1" customWidth="1"/>
    <col min="14856" max="14856" width="10.42578125" style="8" bestFit="1" customWidth="1"/>
    <col min="14857" max="14857" width="12.28515625" style="8" customWidth="1"/>
    <col min="14858" max="14862" width="11.42578125" style="8" customWidth="1"/>
    <col min="14863" max="14864" width="10.5703125" style="8" bestFit="1" customWidth="1"/>
    <col min="14865" max="14866" width="11.42578125" style="8" customWidth="1"/>
    <col min="14867" max="14867" width="6.140625" style="8" customWidth="1"/>
    <col min="14868" max="14878" width="11.42578125" style="8" customWidth="1"/>
    <col min="14879" max="15108" width="11.42578125" style="8"/>
    <col min="15109" max="15109" width="5.28515625" style="8" customWidth="1"/>
    <col min="15110" max="15110" width="15.28515625" style="8" customWidth="1"/>
    <col min="15111" max="15111" width="14.42578125" style="8" bestFit="1" customWidth="1"/>
    <col min="15112" max="15112" width="10.42578125" style="8" bestFit="1" customWidth="1"/>
    <col min="15113" max="15113" width="12.28515625" style="8" customWidth="1"/>
    <col min="15114" max="15118" width="11.42578125" style="8" customWidth="1"/>
    <col min="15119" max="15120" width="10.5703125" style="8" bestFit="1" customWidth="1"/>
    <col min="15121" max="15122" width="11.42578125" style="8" customWidth="1"/>
    <col min="15123" max="15123" width="6.140625" style="8" customWidth="1"/>
    <col min="15124" max="15134" width="11.42578125" style="8" customWidth="1"/>
    <col min="15135" max="15364" width="11.42578125" style="8"/>
    <col min="15365" max="15365" width="5.28515625" style="8" customWidth="1"/>
    <col min="15366" max="15366" width="15.28515625" style="8" customWidth="1"/>
    <col min="15367" max="15367" width="14.42578125" style="8" bestFit="1" customWidth="1"/>
    <col min="15368" max="15368" width="10.42578125" style="8" bestFit="1" customWidth="1"/>
    <col min="15369" max="15369" width="12.28515625" style="8" customWidth="1"/>
    <col min="15370" max="15374" width="11.42578125" style="8" customWidth="1"/>
    <col min="15375" max="15376" width="10.5703125" style="8" bestFit="1" customWidth="1"/>
    <col min="15377" max="15378" width="11.42578125" style="8" customWidth="1"/>
    <col min="15379" max="15379" width="6.140625" style="8" customWidth="1"/>
    <col min="15380" max="15390" width="11.42578125" style="8" customWidth="1"/>
    <col min="15391" max="15620" width="11.42578125" style="8"/>
    <col min="15621" max="15621" width="5.28515625" style="8" customWidth="1"/>
    <col min="15622" max="15622" width="15.28515625" style="8" customWidth="1"/>
    <col min="15623" max="15623" width="14.42578125" style="8" bestFit="1" customWidth="1"/>
    <col min="15624" max="15624" width="10.42578125" style="8" bestFit="1" customWidth="1"/>
    <col min="15625" max="15625" width="12.28515625" style="8" customWidth="1"/>
    <col min="15626" max="15630" width="11.42578125" style="8" customWidth="1"/>
    <col min="15631" max="15632" width="10.5703125" style="8" bestFit="1" customWidth="1"/>
    <col min="15633" max="15634" width="11.42578125" style="8" customWidth="1"/>
    <col min="15635" max="15635" width="6.140625" style="8" customWidth="1"/>
    <col min="15636" max="15646" width="11.42578125" style="8" customWidth="1"/>
    <col min="15647" max="15876" width="11.42578125" style="8"/>
    <col min="15877" max="15877" width="5.28515625" style="8" customWidth="1"/>
    <col min="15878" max="15878" width="15.28515625" style="8" customWidth="1"/>
    <col min="15879" max="15879" width="14.42578125" style="8" bestFit="1" customWidth="1"/>
    <col min="15880" max="15880" width="10.42578125" style="8" bestFit="1" customWidth="1"/>
    <col min="15881" max="15881" width="12.28515625" style="8" customWidth="1"/>
    <col min="15882" max="15886" width="11.42578125" style="8" customWidth="1"/>
    <col min="15887" max="15888" width="10.5703125" style="8" bestFit="1" customWidth="1"/>
    <col min="15889" max="15890" width="11.42578125" style="8" customWidth="1"/>
    <col min="15891" max="15891" width="6.140625" style="8" customWidth="1"/>
    <col min="15892" max="15902" width="11.42578125" style="8" customWidth="1"/>
    <col min="15903" max="16132" width="11.42578125" style="8"/>
    <col min="16133" max="16133" width="5.28515625" style="8" customWidth="1"/>
    <col min="16134" max="16134" width="15.28515625" style="8" customWidth="1"/>
    <col min="16135" max="16135" width="14.42578125" style="8" bestFit="1" customWidth="1"/>
    <col min="16136" max="16136" width="10.42578125" style="8" bestFit="1" customWidth="1"/>
    <col min="16137" max="16137" width="12.28515625" style="8" customWidth="1"/>
    <col min="16138" max="16142" width="11.42578125" style="8" customWidth="1"/>
    <col min="16143" max="16144" width="10.5703125" style="8" bestFit="1" customWidth="1"/>
    <col min="16145" max="16146" width="11.42578125" style="8" customWidth="1"/>
    <col min="16147" max="16147" width="6.140625" style="8" customWidth="1"/>
    <col min="16148" max="16158" width="11.42578125" style="8" customWidth="1"/>
    <col min="16159" max="16384" width="11.42578125" style="8"/>
  </cols>
  <sheetData>
    <row r="1" spans="1:596" s="43" customFormat="1" ht="10.5" customHeight="1" thickBot="1" x14ac:dyDescent="0.3">
      <c r="Q1" s="9"/>
      <c r="AN1" s="405"/>
      <c r="AO1"/>
      <c r="AP1"/>
      <c r="AQ1"/>
      <c r="VX1" s="14"/>
    </row>
    <row r="2" spans="1:596" s="1" customFormat="1" ht="25.15" customHeight="1" x14ac:dyDescent="0.25">
      <c r="B2" s="92"/>
      <c r="C2" s="637" t="s">
        <v>1598</v>
      </c>
      <c r="D2" s="637"/>
      <c r="E2" s="637"/>
      <c r="F2" s="637"/>
      <c r="G2" s="637"/>
      <c r="H2" s="637"/>
      <c r="I2" s="637"/>
      <c r="J2" s="629"/>
      <c r="K2" s="629"/>
      <c r="L2" s="629"/>
      <c r="M2" s="629"/>
      <c r="N2" s="629"/>
      <c r="O2" s="629"/>
      <c r="P2" s="629"/>
      <c r="Q2" s="629"/>
      <c r="R2" s="629"/>
      <c r="S2" s="629"/>
      <c r="T2" s="93"/>
      <c r="V2" s="43" t="s">
        <v>1042</v>
      </c>
      <c r="W2" s="77">
        <f>SUMIFS(CampList[HH],CampList[Status],"open",CampList[Opening Date],"&gt;=" &amp; NFI_Monitor_Date)</f>
        <v>2562</v>
      </c>
      <c r="X2" s="43"/>
      <c r="Y2" s="43"/>
      <c r="Z2" s="43"/>
      <c r="AA2" s="43"/>
      <c r="AB2" s="43"/>
      <c r="AC2" s="43"/>
      <c r="AD2" s="43"/>
      <c r="AE2" s="43"/>
      <c r="AF2" s="31"/>
      <c r="AG2" s="31"/>
      <c r="AH2" s="31"/>
      <c r="AI2" s="31"/>
      <c r="AJ2" s="31"/>
      <c r="AK2" s="31"/>
      <c r="AL2" s="31"/>
      <c r="AM2" s="31"/>
      <c r="AN2" s="405"/>
      <c r="AO2"/>
      <c r="AP2"/>
      <c r="AQ2"/>
      <c r="AR2" s="31"/>
      <c r="AS2" s="31"/>
      <c r="AT2" s="31"/>
      <c r="BD2" s="16"/>
      <c r="BE2" s="16"/>
      <c r="VX2" s="201"/>
    </row>
    <row r="3" spans="1:596" s="5" customFormat="1" ht="12.75" customHeight="1" x14ac:dyDescent="0.25">
      <c r="B3" s="94"/>
      <c r="C3" s="903" t="s">
        <v>1752</v>
      </c>
      <c r="D3" s="903"/>
      <c r="E3" s="903"/>
      <c r="F3" s="903"/>
      <c r="G3" s="903"/>
      <c r="H3" s="903"/>
      <c r="I3" s="105"/>
      <c r="J3" s="91"/>
      <c r="K3" s="91"/>
      <c r="L3" s="91"/>
      <c r="M3" s="91"/>
      <c r="N3" s="91"/>
      <c r="O3" s="91"/>
      <c r="P3" s="91"/>
      <c r="Q3" s="91"/>
      <c r="R3" s="91"/>
      <c r="S3" s="91"/>
      <c r="T3" s="95"/>
      <c r="V3" s="43" t="s">
        <v>1043</v>
      </c>
      <c r="W3" s="77" t="e">
        <f>SUMIFS(CampList[HH],CampList[Status],"open",#REF!,"P1")</f>
        <v>#REF!</v>
      </c>
      <c r="X3" s="77"/>
      <c r="Y3" s="43"/>
      <c r="Z3" s="43"/>
      <c r="AA3" s="43"/>
      <c r="AB3" s="43"/>
      <c r="AC3" s="43"/>
      <c r="AD3" s="43"/>
      <c r="AE3" s="43"/>
      <c r="AF3" s="31"/>
      <c r="AG3" s="405"/>
      <c r="AH3" s="405"/>
      <c r="AI3" s="405"/>
      <c r="AJ3" s="405"/>
      <c r="AK3" s="31"/>
      <c r="AL3" s="31"/>
      <c r="AM3" s="31"/>
      <c r="AN3" s="405"/>
      <c r="AO3"/>
      <c r="AP3"/>
      <c r="AQ3"/>
      <c r="AR3"/>
      <c r="AS3"/>
      <c r="AT3"/>
      <c r="AU3"/>
      <c r="AV3"/>
      <c r="AW3"/>
      <c r="AX3"/>
      <c r="BD3" s="17"/>
      <c r="BE3" s="17"/>
      <c r="VX3" s="202"/>
    </row>
    <row r="4" spans="1:596" s="14" customFormat="1" ht="36" x14ac:dyDescent="0.55000000000000004">
      <c r="B4" s="638"/>
      <c r="C4" s="633"/>
      <c r="D4" s="632"/>
      <c r="E4" s="632"/>
      <c r="F4"/>
      <c r="G4"/>
      <c r="H4" s="632"/>
      <c r="I4" s="632"/>
      <c r="J4" s="632"/>
      <c r="K4" s="632"/>
      <c r="L4" s="632"/>
      <c r="M4" s="632"/>
      <c r="N4" s="632"/>
      <c r="O4" s="632"/>
      <c r="P4" s="632"/>
      <c r="Q4" s="634"/>
      <c r="R4" s="632"/>
      <c r="S4" s="632"/>
      <c r="T4" s="639"/>
      <c r="V4" s="14" t="s">
        <v>1250</v>
      </c>
      <c r="AG4" s="405"/>
      <c r="AH4" s="405"/>
      <c r="AI4" s="405"/>
      <c r="AJ4" s="405"/>
      <c r="AO4" s="155" t="s">
        <v>1642</v>
      </c>
      <c r="AP4"/>
      <c r="AQ4"/>
      <c r="AR4"/>
      <c r="AS4"/>
      <c r="AT4"/>
      <c r="AU4"/>
      <c r="AV4"/>
      <c r="AW4"/>
      <c r="AX4"/>
    </row>
    <row r="5" spans="1:596" s="14" customFormat="1" ht="36" x14ac:dyDescent="0.55000000000000004">
      <c r="B5" s="138"/>
      <c r="C5" s="139"/>
      <c r="D5" s="140"/>
      <c r="E5" s="140"/>
      <c r="I5" s="140"/>
      <c r="J5" s="140"/>
      <c r="K5" s="140"/>
      <c r="L5" s="140"/>
      <c r="M5" s="140"/>
      <c r="N5" s="140"/>
      <c r="O5" s="140"/>
      <c r="P5" s="140"/>
      <c r="Q5" s="141"/>
      <c r="R5" s="140"/>
      <c r="S5" s="140"/>
      <c r="T5" s="142"/>
      <c r="AG5" s="405"/>
      <c r="AH5" s="405"/>
      <c r="AI5" s="405"/>
      <c r="AJ5" s="405"/>
      <c r="AO5" s="6" t="s">
        <v>1641</v>
      </c>
      <c r="AP5" s="149">
        <v>288</v>
      </c>
      <c r="AQ5"/>
    </row>
    <row r="6" spans="1:596" s="31" customFormat="1" ht="12.75" hidden="1" customHeight="1" x14ac:dyDescent="0.35">
      <c r="A6" s="43"/>
      <c r="B6" s="101"/>
      <c r="C6" s="10"/>
      <c r="D6" s="10"/>
      <c r="E6" s="10"/>
      <c r="I6" s="10"/>
      <c r="J6" s="10"/>
      <c r="K6" s="10"/>
      <c r="L6" s="10"/>
      <c r="M6" s="10"/>
      <c r="N6" s="10"/>
      <c r="O6" s="10"/>
      <c r="P6" s="10"/>
      <c r="Q6" s="143"/>
      <c r="R6" s="10"/>
      <c r="S6" s="10"/>
      <c r="T6" s="99"/>
      <c r="U6" s="43"/>
      <c r="V6" s="43"/>
      <c r="W6" s="43"/>
      <c r="X6" s="43"/>
      <c r="Y6" s="43"/>
      <c r="Z6" s="43"/>
      <c r="AA6" s="43"/>
      <c r="AB6" s="43"/>
      <c r="AC6" s="43"/>
      <c r="AD6" s="43"/>
      <c r="AE6" s="43"/>
      <c r="AG6" s="405"/>
      <c r="AH6" s="405"/>
      <c r="AI6" s="405"/>
      <c r="AJ6" s="405"/>
      <c r="AN6" s="405"/>
      <c r="AO6" s="6" t="s">
        <v>1640</v>
      </c>
      <c r="AP6" s="149">
        <v>639</v>
      </c>
      <c r="AQ6"/>
      <c r="VX6" s="14"/>
    </row>
    <row r="7" spans="1:596" s="31" customFormat="1" ht="15" customHeight="1" x14ac:dyDescent="0.25">
      <c r="A7" s="43"/>
      <c r="B7" s="101"/>
      <c r="C7" s="10"/>
      <c r="D7" s="10"/>
      <c r="E7" s="10"/>
      <c r="I7" s="10"/>
      <c r="J7" s="10"/>
      <c r="K7" s="10"/>
      <c r="L7" s="10"/>
      <c r="M7" s="10"/>
      <c r="N7" s="10"/>
      <c r="O7" s="10"/>
      <c r="P7" s="10"/>
      <c r="Q7" s="10"/>
      <c r="R7" s="10"/>
      <c r="S7" s="10"/>
      <c r="T7" s="99"/>
      <c r="U7" s="43"/>
      <c r="V7" s="43"/>
      <c r="W7" s="43"/>
      <c r="X7" s="43"/>
      <c r="Y7" s="43"/>
      <c r="Z7" s="43"/>
      <c r="AA7" s="43"/>
      <c r="AB7" s="43"/>
      <c r="AC7" s="43"/>
      <c r="AD7" s="43"/>
      <c r="AE7" s="43"/>
      <c r="AG7" s="405"/>
      <c r="AH7" s="405"/>
      <c r="AI7" s="405"/>
      <c r="AJ7" s="405"/>
      <c r="AN7" s="405"/>
      <c r="AO7" s="6" t="s">
        <v>1639</v>
      </c>
      <c r="AP7" s="149">
        <v>2687</v>
      </c>
      <c r="AQ7"/>
      <c r="VX7" s="14"/>
    </row>
    <row r="8" spans="1:596" ht="15" customHeight="1" x14ac:dyDescent="0.25">
      <c r="B8" s="101"/>
      <c r="C8" s="154"/>
      <c r="D8" s="154"/>
      <c r="E8" s="154"/>
      <c r="I8" s="154"/>
      <c r="J8" s="154"/>
      <c r="K8" s="154"/>
      <c r="L8" s="154"/>
      <c r="M8" s="154"/>
      <c r="N8" s="154"/>
      <c r="O8" s="154"/>
      <c r="P8" s="154"/>
      <c r="Q8" s="154"/>
      <c r="R8" s="154"/>
      <c r="S8" s="154"/>
      <c r="T8" s="99"/>
      <c r="Y8" s="1"/>
      <c r="AG8" s="405"/>
      <c r="AH8" s="405"/>
      <c r="AI8" s="405"/>
      <c r="AJ8" s="405"/>
      <c r="AO8" s="6" t="s">
        <v>1638</v>
      </c>
      <c r="AP8" s="149">
        <v>2490</v>
      </c>
      <c r="AQ8"/>
    </row>
    <row r="9" spans="1:596" ht="24" x14ac:dyDescent="0.25">
      <c r="B9" s="101"/>
      <c r="C9" s="669"/>
      <c r="D9" s="670"/>
      <c r="E9" s="671"/>
      <c r="I9" s="670"/>
      <c r="J9" s="671"/>
      <c r="K9" s="154"/>
      <c r="L9" s="669"/>
      <c r="M9" s="670"/>
      <c r="N9" s="671"/>
      <c r="O9" s="670"/>
      <c r="P9" s="670"/>
      <c r="Q9" s="670"/>
      <c r="R9" s="670"/>
      <c r="S9" s="671"/>
      <c r="T9" s="99"/>
      <c r="W9" s="15"/>
      <c r="X9" s="1"/>
      <c r="Y9" s="101"/>
      <c r="Z9" s="144" t="s">
        <v>767</v>
      </c>
      <c r="AA9" s="144" t="s">
        <v>768</v>
      </c>
      <c r="AB9" s="48" t="s">
        <v>769</v>
      </c>
      <c r="AC9" s="48" t="s">
        <v>770</v>
      </c>
      <c r="AD9" s="49" t="s">
        <v>771</v>
      </c>
      <c r="AE9" s="49" t="s">
        <v>772</v>
      </c>
      <c r="AF9" s="99"/>
      <c r="AG9" s="405"/>
      <c r="AH9" s="405"/>
      <c r="AI9" s="405"/>
      <c r="AJ9" s="405"/>
      <c r="AO9" s="6" t="s">
        <v>1637</v>
      </c>
      <c r="AP9" s="149">
        <v>863</v>
      </c>
      <c r="AQ9"/>
    </row>
    <row r="10" spans="1:596" ht="15" customHeight="1" x14ac:dyDescent="0.25">
      <c r="B10" s="101"/>
      <c r="C10" s="635"/>
      <c r="D10" s="672"/>
      <c r="E10" s="636"/>
      <c r="I10" s="674"/>
      <c r="J10" s="674"/>
      <c r="K10" s="154"/>
      <c r="L10" s="635"/>
      <c r="M10" s="672"/>
      <c r="N10" s="636"/>
      <c r="O10" s="673"/>
      <c r="P10" s="674"/>
      <c r="Q10" s="673"/>
      <c r="R10" s="674"/>
      <c r="S10" s="674"/>
      <c r="T10" s="99"/>
      <c r="W10" s="15"/>
      <c r="X10" s="1"/>
      <c r="Y10" s="101"/>
      <c r="Z10" s="33">
        <f t="shared" ref="Z10:Z16" si="0">IF((E10-(SUM(AG7:AI7)))&lt;0,0,(E10-(SUM(AG7:AI7))))</f>
        <v>0</v>
      </c>
      <c r="AA10" s="145" t="e">
        <f t="shared" ref="AA10:AA16" si="1">Z10/E10</f>
        <v>#DIV/0!</v>
      </c>
      <c r="AB10" s="33" t="e">
        <f t="shared" ref="AB10:AB16" ca="1" si="2">SUMIFS(INDIRECT(VLOOKUP($C10,NFI,4,0)),NFI_Pipeline_State,$C$4)</f>
        <v>#N/A</v>
      </c>
      <c r="AC10" s="32" t="e">
        <f t="shared" ref="AC10:AC16" ca="1" si="3">AB10/E10</f>
        <v>#N/A</v>
      </c>
      <c r="AD10" s="34" t="e">
        <f t="shared" ref="AD10:AD16" ca="1" si="4">IF((E10-(AG7+AI7+AB10))&lt;0,0,(E10-(AG7+AI7+AB10)))</f>
        <v>#N/A</v>
      </c>
      <c r="AE10" s="35" t="e">
        <f t="shared" ref="AE10:AE16" ca="1" si="5">AD10/E10</f>
        <v>#N/A</v>
      </c>
      <c r="AF10" s="99"/>
      <c r="AG10" s="405"/>
      <c r="AH10" s="405"/>
      <c r="AI10" s="405"/>
      <c r="AJ10" s="405"/>
      <c r="AO10" s="6" t="s">
        <v>1636</v>
      </c>
      <c r="AP10" s="149">
        <v>3550</v>
      </c>
      <c r="AQ10"/>
    </row>
    <row r="11" spans="1:596" ht="15" customHeight="1" x14ac:dyDescent="0.25">
      <c r="B11" s="101"/>
      <c r="C11" s="635"/>
      <c r="D11" s="672"/>
      <c r="E11" s="636"/>
      <c r="I11" s="674"/>
      <c r="J11" s="674"/>
      <c r="K11" s="154"/>
      <c r="L11" s="904"/>
      <c r="M11" s="905"/>
      <c r="N11" s="906"/>
      <c r="O11" s="909"/>
      <c r="P11" s="907"/>
      <c r="Q11" s="909"/>
      <c r="R11" s="908"/>
      <c r="S11" s="907"/>
      <c r="T11" s="99"/>
      <c r="W11" s="15"/>
      <c r="X11" s="1"/>
      <c r="Y11" s="101"/>
      <c r="Z11" s="33">
        <f t="shared" si="0"/>
        <v>0</v>
      </c>
      <c r="AA11" s="145" t="e">
        <f t="shared" si="1"/>
        <v>#DIV/0!</v>
      </c>
      <c r="AB11" s="33" t="e">
        <f t="shared" ca="1" si="2"/>
        <v>#N/A</v>
      </c>
      <c r="AC11" s="32" t="e">
        <f t="shared" ca="1" si="3"/>
        <v>#N/A</v>
      </c>
      <c r="AD11" s="34" t="e">
        <f t="shared" ca="1" si="4"/>
        <v>#N/A</v>
      </c>
      <c r="AE11" s="35" t="e">
        <f t="shared" ca="1" si="5"/>
        <v>#N/A</v>
      </c>
      <c r="AF11" s="99"/>
      <c r="AG11" s="405"/>
      <c r="AH11" s="405"/>
      <c r="AI11" s="405"/>
      <c r="AJ11" s="405"/>
      <c r="AO11" s="6" t="s">
        <v>1635</v>
      </c>
      <c r="AP11" s="149">
        <v>1135</v>
      </c>
      <c r="AQ11"/>
    </row>
    <row r="12" spans="1:596" ht="15" customHeight="1" x14ac:dyDescent="0.25">
      <c r="B12" s="101"/>
      <c r="C12" s="635"/>
      <c r="D12" s="672"/>
      <c r="E12" s="636"/>
      <c r="I12" s="674"/>
      <c r="J12" s="674"/>
      <c r="K12" s="154"/>
      <c r="L12" s="904"/>
      <c r="M12" s="905"/>
      <c r="N12" s="906"/>
      <c r="O12" s="909"/>
      <c r="P12" s="907"/>
      <c r="Q12" s="909"/>
      <c r="R12" s="908"/>
      <c r="S12" s="907"/>
      <c r="T12" s="99"/>
      <c r="W12" s="15"/>
      <c r="X12" s="1"/>
      <c r="Y12" s="101"/>
      <c r="Z12" s="33">
        <f t="shared" si="0"/>
        <v>0</v>
      </c>
      <c r="AA12" s="145" t="e">
        <f t="shared" si="1"/>
        <v>#DIV/0!</v>
      </c>
      <c r="AB12" s="33" t="e">
        <f t="shared" ca="1" si="2"/>
        <v>#N/A</v>
      </c>
      <c r="AC12" s="32" t="e">
        <f t="shared" ca="1" si="3"/>
        <v>#N/A</v>
      </c>
      <c r="AD12" s="34" t="e">
        <f t="shared" ca="1" si="4"/>
        <v>#N/A</v>
      </c>
      <c r="AE12" s="35" t="e">
        <f t="shared" ca="1" si="5"/>
        <v>#N/A</v>
      </c>
      <c r="AF12" s="99"/>
      <c r="AG12" s="405"/>
      <c r="AH12" s="405"/>
      <c r="AI12" s="405"/>
      <c r="AJ12" s="405"/>
      <c r="AO12" s="6" t="s">
        <v>1634</v>
      </c>
      <c r="AP12" s="149">
        <v>591</v>
      </c>
      <c r="AQ12"/>
    </row>
    <row r="13" spans="1:596" ht="15" customHeight="1" x14ac:dyDescent="0.25">
      <c r="B13" s="101"/>
      <c r="C13" s="635"/>
      <c r="D13" s="672"/>
      <c r="E13" s="636"/>
      <c r="I13" s="674"/>
      <c r="J13" s="674"/>
      <c r="K13" s="154"/>
      <c r="L13" s="635"/>
      <c r="M13" s="672"/>
      <c r="N13" s="636"/>
      <c r="O13" s="673"/>
      <c r="P13" s="674"/>
      <c r="Q13" s="673"/>
      <c r="R13" s="674"/>
      <c r="S13" s="674"/>
      <c r="T13" s="99"/>
      <c r="W13" s="15"/>
      <c r="X13" s="1"/>
      <c r="Y13" s="101"/>
      <c r="Z13" s="33">
        <f t="shared" si="0"/>
        <v>0</v>
      </c>
      <c r="AA13" s="145" t="e">
        <f t="shared" si="1"/>
        <v>#DIV/0!</v>
      </c>
      <c r="AB13" s="33" t="e">
        <f t="shared" ca="1" si="2"/>
        <v>#N/A</v>
      </c>
      <c r="AC13" s="32" t="e">
        <f t="shared" ca="1" si="3"/>
        <v>#N/A</v>
      </c>
      <c r="AD13" s="34" t="e">
        <f t="shared" ca="1" si="4"/>
        <v>#N/A</v>
      </c>
      <c r="AE13" s="35" t="e">
        <f t="shared" ca="1" si="5"/>
        <v>#N/A</v>
      </c>
      <c r="AF13" s="99"/>
      <c r="AG13" s="405"/>
      <c r="AH13" s="405"/>
      <c r="AI13" s="405"/>
      <c r="AJ13" s="405"/>
      <c r="AO13" s="6" t="s">
        <v>1633</v>
      </c>
      <c r="AP13" s="149">
        <v>2756</v>
      </c>
      <c r="AQ13"/>
    </row>
    <row r="14" spans="1:596" ht="15" customHeight="1" x14ac:dyDescent="0.25">
      <c r="B14" s="101"/>
      <c r="C14" s="635"/>
      <c r="D14" s="672"/>
      <c r="E14" s="636"/>
      <c r="I14" s="674"/>
      <c r="J14" s="674"/>
      <c r="K14" s="154"/>
      <c r="L14" s="154"/>
      <c r="M14" s="154"/>
      <c r="N14" s="154"/>
      <c r="O14" s="154"/>
      <c r="P14" s="154"/>
      <c r="Q14" s="154"/>
      <c r="R14" s="154"/>
      <c r="S14" s="154"/>
      <c r="T14" s="99"/>
      <c r="W14" s="15"/>
      <c r="X14" s="1"/>
      <c r="Y14" s="101"/>
      <c r="Z14" s="33">
        <f t="shared" si="0"/>
        <v>0</v>
      </c>
      <c r="AA14" s="145" t="e">
        <f t="shared" si="1"/>
        <v>#DIV/0!</v>
      </c>
      <c r="AB14" s="33" t="e">
        <f t="shared" ca="1" si="2"/>
        <v>#N/A</v>
      </c>
      <c r="AC14" s="32" t="e">
        <f t="shared" ca="1" si="3"/>
        <v>#N/A</v>
      </c>
      <c r="AD14" s="34" t="e">
        <f t="shared" ca="1" si="4"/>
        <v>#N/A</v>
      </c>
      <c r="AE14" s="35" t="e">
        <f t="shared" ca="1" si="5"/>
        <v>#N/A</v>
      </c>
      <c r="AF14" s="99"/>
      <c r="AG14" s="405"/>
      <c r="AH14" s="405"/>
      <c r="AI14" s="405"/>
      <c r="AJ14" s="405"/>
      <c r="AO14" s="6" t="s">
        <v>1632</v>
      </c>
      <c r="AP14" s="149">
        <v>596</v>
      </c>
      <c r="AQ14"/>
    </row>
    <row r="15" spans="1:596" ht="15" customHeight="1" x14ac:dyDescent="0.25">
      <c r="B15" s="101"/>
      <c r="C15" s="635"/>
      <c r="D15" s="672"/>
      <c r="E15" s="636"/>
      <c r="I15" s="674"/>
      <c r="J15" s="674"/>
      <c r="K15" s="154"/>
      <c r="L15" s="154"/>
      <c r="M15" s="154"/>
      <c r="N15" s="154"/>
      <c r="O15" s="154"/>
      <c r="P15" s="154"/>
      <c r="Q15" s="154"/>
      <c r="R15" s="154"/>
      <c r="S15" s="154"/>
      <c r="T15" s="99"/>
      <c r="W15" s="15"/>
      <c r="X15" s="1"/>
      <c r="Y15" s="101"/>
      <c r="Z15" s="33">
        <f t="shared" si="0"/>
        <v>0</v>
      </c>
      <c r="AA15" s="145" t="e">
        <f t="shared" si="1"/>
        <v>#DIV/0!</v>
      </c>
      <c r="AB15" s="33" t="e">
        <f t="shared" ca="1" si="2"/>
        <v>#N/A</v>
      </c>
      <c r="AC15" s="32" t="e">
        <f t="shared" ca="1" si="3"/>
        <v>#N/A</v>
      </c>
      <c r="AD15" s="34" t="e">
        <f t="shared" ca="1" si="4"/>
        <v>#N/A</v>
      </c>
      <c r="AE15" s="35" t="e">
        <f t="shared" ca="1" si="5"/>
        <v>#N/A</v>
      </c>
      <c r="AF15" s="99"/>
      <c r="AG15" s="405"/>
      <c r="AH15" s="405"/>
      <c r="AI15" s="405"/>
      <c r="AJ15" s="405"/>
      <c r="AO15"/>
      <c r="AP15"/>
      <c r="AQ15"/>
    </row>
    <row r="16" spans="1:596" ht="13.5" customHeight="1" x14ac:dyDescent="0.25">
      <c r="B16" s="101"/>
      <c r="C16" s="635"/>
      <c r="D16" s="672"/>
      <c r="E16" s="636"/>
      <c r="F16"/>
      <c r="G16"/>
      <c r="H16"/>
      <c r="I16" s="674"/>
      <c r="J16" s="674"/>
      <c r="K16" s="154"/>
      <c r="L16" s="154"/>
      <c r="M16" s="154"/>
      <c r="N16" s="154"/>
      <c r="O16" s="154"/>
      <c r="P16" s="154"/>
      <c r="Q16" s="154"/>
      <c r="R16" s="154"/>
      <c r="S16" s="154"/>
      <c r="T16" s="99"/>
      <c r="W16" s="15"/>
      <c r="X16" s="1"/>
      <c r="Y16" s="101"/>
      <c r="Z16" s="33">
        <f t="shared" si="0"/>
        <v>0</v>
      </c>
      <c r="AA16" s="145" t="e">
        <f t="shared" si="1"/>
        <v>#DIV/0!</v>
      </c>
      <c r="AB16" s="33" t="e">
        <f t="shared" ca="1" si="2"/>
        <v>#N/A</v>
      </c>
      <c r="AC16" s="32" t="e">
        <f t="shared" ca="1" si="3"/>
        <v>#N/A</v>
      </c>
      <c r="AD16" s="34" t="e">
        <f t="shared" ca="1" si="4"/>
        <v>#N/A</v>
      </c>
      <c r="AE16" s="35" t="e">
        <f t="shared" ca="1" si="5"/>
        <v>#N/A</v>
      </c>
      <c r="AF16" s="99"/>
      <c r="AG16" s="405"/>
      <c r="AH16" s="405"/>
      <c r="AI16" s="405"/>
      <c r="AJ16" s="405"/>
      <c r="AO16"/>
      <c r="AP16"/>
      <c r="AQ16"/>
    </row>
    <row r="17" spans="2:596" s="43" customFormat="1" ht="14.25" customHeight="1" x14ac:dyDescent="0.25">
      <c r="B17" s="101"/>
      <c r="C17" s="154"/>
      <c r="D17" s="154"/>
      <c r="E17" s="154"/>
      <c r="F17"/>
      <c r="G17"/>
      <c r="H17"/>
      <c r="I17" s="154"/>
      <c r="J17" s="154"/>
      <c r="K17" s="154"/>
      <c r="L17" s="154"/>
      <c r="M17" s="154"/>
      <c r="N17" s="154"/>
      <c r="O17" s="154"/>
      <c r="P17" s="154"/>
      <c r="Q17" s="154"/>
      <c r="R17" s="154"/>
      <c r="S17" s="154"/>
      <c r="T17" s="99"/>
      <c r="W17" s="15"/>
      <c r="X17" s="1"/>
      <c r="Y17" s="101"/>
      <c r="Z17" s="33">
        <f>IF((N10-(SUM(O10:Q10)))&lt;0,0,(N10-(SUM(O10:Q10))))</f>
        <v>0</v>
      </c>
      <c r="AA17" s="145" t="e">
        <f>Z17/N10</f>
        <v>#DIV/0!</v>
      </c>
      <c r="AB17" s="33" t="e">
        <f ca="1">SUMIFS(INDIRECT(VLOOKUP($L10,NFI,4,0)),NFI_Pipeline_State,$C$4)</f>
        <v>#N/A</v>
      </c>
      <c r="AC17" s="32" t="e">
        <f ca="1">AB17/N10</f>
        <v>#N/A</v>
      </c>
      <c r="AD17" s="34" t="e">
        <f ca="1">IF((N10-(O10+Q10+AB17))&lt;0,0,(N10-(O10+Q10+AB17)))</f>
        <v>#N/A</v>
      </c>
      <c r="AE17" s="35" t="e">
        <f ca="1">AD17/N10</f>
        <v>#N/A</v>
      </c>
      <c r="AF17" s="99"/>
      <c r="AG17" s="405"/>
      <c r="AH17" s="405"/>
      <c r="AI17" s="405"/>
      <c r="AJ17" s="405"/>
      <c r="AN17" s="405"/>
      <c r="AO17"/>
      <c r="AP17"/>
      <c r="AQ17"/>
      <c r="VX17" s="14"/>
    </row>
    <row r="18" spans="2:596" s="43" customFormat="1" ht="12.75" customHeight="1" x14ac:dyDescent="0.25">
      <c r="B18" s="101"/>
      <c r="C18" s="154"/>
      <c r="D18" s="154"/>
      <c r="E18" s="154"/>
      <c r="F18"/>
      <c r="G18"/>
      <c r="H18"/>
      <c r="I18" s="154"/>
      <c r="J18" s="154"/>
      <c r="K18" s="154"/>
      <c r="L18" s="154"/>
      <c r="M18" s="154"/>
      <c r="N18" s="154"/>
      <c r="O18" s="154"/>
      <c r="P18" s="154"/>
      <c r="Q18" s="154"/>
      <c r="R18" s="154"/>
      <c r="S18" s="154"/>
      <c r="T18" s="99"/>
      <c r="W18" s="15"/>
      <c r="X18" s="1"/>
      <c r="Y18" s="101"/>
      <c r="Z18" s="33">
        <f>IF((N11-(SUM(O11:Q11)))&lt;0,0,(N11-(SUM(O11:Q11))))</f>
        <v>0</v>
      </c>
      <c r="AA18" s="145" t="e">
        <f>Z18/N11</f>
        <v>#DIV/0!</v>
      </c>
      <c r="AB18" s="33" t="e">
        <f ca="1">SUMIFS(INDIRECT(VLOOKUP($L11,NFI,4,0)),NFI_Pipeline_State,$C$4)</f>
        <v>#N/A</v>
      </c>
      <c r="AC18" s="32" t="e">
        <f ca="1">AB18/N11</f>
        <v>#N/A</v>
      </c>
      <c r="AD18" s="34" t="e">
        <f ca="1">IF((N11-(O11+Q11+AB18))&lt;0,0,(N11-(O11+Q11+AB18)))</f>
        <v>#N/A</v>
      </c>
      <c r="AE18" s="35" t="e">
        <f ca="1">AD18/N11</f>
        <v>#N/A</v>
      </c>
      <c r="AF18" s="99"/>
      <c r="AG18" s="405"/>
      <c r="AH18" s="405"/>
      <c r="AI18" s="405"/>
      <c r="AJ18" s="405"/>
      <c r="AN18" s="405"/>
      <c r="AO18" s="155" t="s">
        <v>410</v>
      </c>
      <c r="AP18" t="s">
        <v>1643</v>
      </c>
      <c r="AQ18"/>
      <c r="VX18" s="14"/>
    </row>
    <row r="19" spans="2:596" ht="12.75" customHeight="1" x14ac:dyDescent="0.25">
      <c r="B19" s="101"/>
      <c r="C19" s="10"/>
      <c r="D19" s="10"/>
      <c r="E19" s="10"/>
      <c r="F19"/>
      <c r="G19"/>
      <c r="H19"/>
      <c r="I19" s="10"/>
      <c r="J19" s="10"/>
      <c r="K19" s="10"/>
      <c r="L19" s="10"/>
      <c r="M19" s="10"/>
      <c r="N19" s="10"/>
      <c r="O19" s="10"/>
      <c r="P19" s="10"/>
      <c r="Q19" s="10"/>
      <c r="R19" s="10"/>
      <c r="S19" s="10"/>
      <c r="T19" s="99"/>
      <c r="W19" s="15"/>
      <c r="X19" s="1"/>
      <c r="Y19" s="101"/>
      <c r="Z19" s="33">
        <f>IF((N13-(SUM(O13:Q13)))&lt;0,0,(N13-(SUM(O13:Q13))))</f>
        <v>0</v>
      </c>
      <c r="AA19" s="145" t="e">
        <f>Z19/N13</f>
        <v>#DIV/0!</v>
      </c>
      <c r="AB19" s="33" t="e">
        <f ca="1">SUMIFS(INDIRECT(VLOOKUP($L13,NFI,4,0)),NFI_Pipeline_State,$C$4)</f>
        <v>#N/A</v>
      </c>
      <c r="AC19" s="32" t="e">
        <f ca="1">AB19/N13</f>
        <v>#N/A</v>
      </c>
      <c r="AD19" s="34" t="e">
        <f ca="1">IF((N13-(O13+Q13+AB19))&lt;0,0,(N13-(O13+Q13+AB19)))</f>
        <v>#N/A</v>
      </c>
      <c r="AE19" s="35" t="e">
        <f ca="1">AD19/N13</f>
        <v>#N/A</v>
      </c>
      <c r="AF19" s="99"/>
      <c r="AG19" s="405"/>
      <c r="AH19" s="405"/>
      <c r="AI19" s="405"/>
      <c r="AJ19" s="405"/>
      <c r="AO19" s="6" t="s">
        <v>5</v>
      </c>
      <c r="AP19" s="149">
        <v>12</v>
      </c>
      <c r="AQ19"/>
    </row>
    <row r="20" spans="2:596" ht="12.75" customHeight="1" thickBot="1" x14ac:dyDescent="0.3">
      <c r="B20" s="101"/>
      <c r="C20" s="10"/>
      <c r="D20" s="10"/>
      <c r="E20" s="10"/>
      <c r="F20"/>
      <c r="G20"/>
      <c r="H20"/>
      <c r="I20" s="10"/>
      <c r="J20" s="10"/>
      <c r="K20" s="10"/>
      <c r="L20" s="10"/>
      <c r="M20" s="10"/>
      <c r="N20" s="10"/>
      <c r="O20" s="10"/>
      <c r="P20" s="10"/>
      <c r="Q20" s="10"/>
      <c r="R20" s="10"/>
      <c r="S20" s="10"/>
      <c r="T20" s="99"/>
      <c r="W20" s="96"/>
      <c r="X20" s="97"/>
      <c r="Y20" s="102"/>
      <c r="Z20" s="98"/>
      <c r="AA20" s="98"/>
      <c r="AB20" s="98"/>
      <c r="AC20" s="98"/>
      <c r="AD20" s="98"/>
      <c r="AE20" s="98"/>
      <c r="AF20" s="100"/>
      <c r="AG20" s="405"/>
      <c r="AH20" s="405"/>
      <c r="AI20" s="405"/>
      <c r="AJ20" s="405"/>
      <c r="AO20" s="6" t="s">
        <v>27</v>
      </c>
      <c r="AP20" s="149">
        <v>2</v>
      </c>
      <c r="AQ20"/>
    </row>
    <row r="21" spans="2:596" ht="12.75" customHeight="1" x14ac:dyDescent="0.25">
      <c r="B21" s="101"/>
      <c r="C21" s="10"/>
      <c r="D21" s="10"/>
      <c r="E21" s="10"/>
      <c r="F21"/>
      <c r="G21"/>
      <c r="H21"/>
      <c r="I21" s="10"/>
      <c r="J21" s="10"/>
      <c r="K21" s="10"/>
      <c r="L21" s="10"/>
      <c r="M21" s="10"/>
      <c r="N21" s="10"/>
      <c r="O21" s="10"/>
      <c r="P21" s="10"/>
      <c r="Q21" s="10"/>
      <c r="R21" s="10"/>
      <c r="S21" s="10"/>
      <c r="T21" s="99"/>
      <c r="Y21" s="1"/>
      <c r="AG21" s="405"/>
      <c r="AH21" s="405"/>
      <c r="AI21" s="405"/>
      <c r="AJ21" s="405"/>
      <c r="AO21" s="6" t="s">
        <v>481</v>
      </c>
      <c r="AP21" s="149">
        <v>1</v>
      </c>
      <c r="AQ21"/>
    </row>
    <row r="22" spans="2:596" ht="12.75" customHeight="1" x14ac:dyDescent="0.25">
      <c r="B22" s="101"/>
      <c r="C22" s="10"/>
      <c r="D22" s="10"/>
      <c r="E22" s="10"/>
      <c r="F22"/>
      <c r="G22"/>
      <c r="H22"/>
      <c r="I22" s="10"/>
      <c r="J22" s="10"/>
      <c r="K22" s="10"/>
      <c r="L22" s="10"/>
      <c r="M22" s="10"/>
      <c r="N22" s="10"/>
      <c r="O22" s="10"/>
      <c r="P22" s="10"/>
      <c r="Q22" s="10"/>
      <c r="R22" s="10"/>
      <c r="S22" s="10"/>
      <c r="T22" s="99"/>
      <c r="Y22" s="1"/>
      <c r="AG22" s="405"/>
      <c r="AH22" s="405"/>
      <c r="AI22" s="405"/>
      <c r="AJ22" s="405"/>
      <c r="AO22" s="6" t="s">
        <v>720</v>
      </c>
      <c r="AP22" s="149">
        <v>1</v>
      </c>
      <c r="AQ22"/>
    </row>
    <row r="23" spans="2:596" s="405" customFormat="1" ht="12.75" customHeight="1" x14ac:dyDescent="0.25">
      <c r="B23" s="101"/>
      <c r="C23" s="10"/>
      <c r="D23" s="10"/>
      <c r="E23" s="10"/>
      <c r="F23"/>
      <c r="G23"/>
      <c r="H23"/>
      <c r="I23" s="10"/>
      <c r="J23" s="10"/>
      <c r="K23" s="10"/>
      <c r="L23" s="10"/>
      <c r="M23" s="10"/>
      <c r="N23" s="10"/>
      <c r="O23" s="10"/>
      <c r="P23" s="10"/>
      <c r="Q23" s="10"/>
      <c r="R23" s="10"/>
      <c r="S23" s="10"/>
      <c r="T23" s="99"/>
      <c r="Y23" s="148"/>
      <c r="AO23" s="6" t="s">
        <v>146</v>
      </c>
      <c r="AP23" s="149">
        <v>5</v>
      </c>
      <c r="AQ23"/>
      <c r="VX23" s="14"/>
    </row>
    <row r="24" spans="2:596" s="405" customFormat="1" ht="12.75" customHeight="1" x14ac:dyDescent="0.25">
      <c r="B24" s="101"/>
      <c r="C24" s="10"/>
      <c r="D24" s="10"/>
      <c r="E24" s="10"/>
      <c r="I24" s="10"/>
      <c r="J24" s="10"/>
      <c r="K24" s="10"/>
      <c r="L24" s="10"/>
      <c r="M24" s="10"/>
      <c r="N24" s="10"/>
      <c r="O24" s="10"/>
      <c r="P24" s="10"/>
      <c r="Q24" s="10"/>
      <c r="R24" s="10"/>
      <c r="S24" s="10"/>
      <c r="T24" s="99"/>
      <c r="Y24" s="148"/>
      <c r="AO24" s="6" t="s">
        <v>151</v>
      </c>
      <c r="AP24" s="149">
        <v>15</v>
      </c>
      <c r="AQ24"/>
      <c r="VX24" s="14"/>
    </row>
    <row r="25" spans="2:596" s="405" customFormat="1" ht="12.75" customHeight="1" x14ac:dyDescent="0.25">
      <c r="B25" s="101"/>
      <c r="C25" s="10"/>
      <c r="D25" s="10"/>
      <c r="E25" s="10"/>
      <c r="I25" s="10"/>
      <c r="J25" s="10"/>
      <c r="K25" s="10"/>
      <c r="L25" s="10"/>
      <c r="M25" s="10"/>
      <c r="N25" s="10"/>
      <c r="O25" s="10"/>
      <c r="P25" s="10"/>
      <c r="Q25" s="10"/>
      <c r="R25" s="10"/>
      <c r="S25" s="10"/>
      <c r="T25" s="99"/>
      <c r="Y25" s="148"/>
      <c r="AO25" s="6" t="s">
        <v>185</v>
      </c>
      <c r="AP25" s="149">
        <v>3</v>
      </c>
      <c r="AQ25"/>
      <c r="VX25" s="14"/>
    </row>
    <row r="26" spans="2:596" s="405" customFormat="1" ht="12.75" customHeight="1" x14ac:dyDescent="0.25">
      <c r="B26" s="101"/>
      <c r="C26" s="10"/>
      <c r="D26" s="10"/>
      <c r="E26" s="10"/>
      <c r="F26" s="675"/>
      <c r="G26" s="675"/>
      <c r="H26" s="625"/>
      <c r="I26" s="10"/>
      <c r="J26" s="10"/>
      <c r="K26" s="10"/>
      <c r="L26" s="10"/>
      <c r="M26" s="10"/>
      <c r="N26" s="10"/>
      <c r="O26" s="10"/>
      <c r="P26" s="10"/>
      <c r="Q26" s="10"/>
      <c r="R26" s="10"/>
      <c r="S26" s="10"/>
      <c r="T26" s="99"/>
      <c r="Y26" s="148"/>
      <c r="AO26" s="6" t="s">
        <v>237</v>
      </c>
      <c r="AP26" s="149">
        <v>13</v>
      </c>
      <c r="AQ26"/>
      <c r="VX26" s="14"/>
    </row>
    <row r="27" spans="2:596" s="405" customFormat="1" ht="12.75" customHeight="1" x14ac:dyDescent="0.25">
      <c r="B27" s="101"/>
      <c r="C27" s="10"/>
      <c r="D27" s="10"/>
      <c r="E27" s="10"/>
      <c r="F27" s="675"/>
      <c r="G27" s="675"/>
      <c r="H27" s="625"/>
      <c r="I27" s="10"/>
      <c r="J27" s="10"/>
      <c r="K27" s="10"/>
      <c r="L27" s="10"/>
      <c r="M27" s="10"/>
      <c r="N27" s="10"/>
      <c r="O27" s="10"/>
      <c r="P27" s="10"/>
      <c r="Q27" s="10"/>
      <c r="R27" s="10"/>
      <c r="S27" s="10"/>
      <c r="T27" s="99"/>
      <c r="Y27" s="148"/>
      <c r="AO27" s="6" t="s">
        <v>297</v>
      </c>
      <c r="AP27" s="149">
        <v>4</v>
      </c>
      <c r="AQ27"/>
      <c r="VX27" s="14"/>
    </row>
    <row r="28" spans="2:596" s="405" customFormat="1" ht="12.75" customHeight="1" x14ac:dyDescent="0.25">
      <c r="B28" s="101"/>
      <c r="C28" s="10"/>
      <c r="D28" s="10"/>
      <c r="E28" s="10"/>
      <c r="F28" s="675"/>
      <c r="G28" s="675"/>
      <c r="H28" s="625"/>
      <c r="I28" s="10"/>
      <c r="J28" s="10"/>
      <c r="K28" s="10"/>
      <c r="L28" s="10"/>
      <c r="M28" s="10"/>
      <c r="N28" s="10"/>
      <c r="O28" s="10"/>
      <c r="P28" s="10"/>
      <c r="Q28" s="10"/>
      <c r="R28" s="10"/>
      <c r="S28" s="10"/>
      <c r="T28" s="99"/>
      <c r="Y28" s="148"/>
      <c r="AO28" s="6" t="s">
        <v>301</v>
      </c>
      <c r="AP28" s="149">
        <v>2</v>
      </c>
      <c r="AQ28"/>
      <c r="VX28" s="14"/>
    </row>
    <row r="29" spans="2:596" s="405" customFormat="1" ht="12.75" customHeight="1" x14ac:dyDescent="0.25">
      <c r="B29" s="101"/>
      <c r="C29" s="10"/>
      <c r="D29" s="10"/>
      <c r="E29" s="10"/>
      <c r="I29" s="10"/>
      <c r="J29" s="10"/>
      <c r="K29" s="10"/>
      <c r="L29" s="10"/>
      <c r="M29" s="10"/>
      <c r="N29" s="10"/>
      <c r="O29" s="10"/>
      <c r="P29" s="10"/>
      <c r="Q29" s="10"/>
      <c r="R29" s="10"/>
      <c r="S29" s="10"/>
      <c r="T29" s="99"/>
      <c r="Y29" s="148"/>
      <c r="AO29" s="6" t="s">
        <v>748</v>
      </c>
      <c r="AP29" s="149">
        <v>2</v>
      </c>
      <c r="AQ29"/>
      <c r="VX29" s="14"/>
    </row>
    <row r="30" spans="2:596" s="405" customFormat="1" x14ac:dyDescent="0.25">
      <c r="B30" s="101"/>
      <c r="C30" s="10"/>
      <c r="D30" s="10"/>
      <c r="E30" s="10"/>
      <c r="I30" s="10"/>
      <c r="J30" s="10"/>
      <c r="K30" s="10"/>
      <c r="L30" s="10"/>
      <c r="M30" s="10"/>
      <c r="N30" s="10"/>
      <c r="O30" s="10"/>
      <c r="P30" s="10"/>
      <c r="Q30" s="10"/>
      <c r="R30" s="10"/>
      <c r="S30" s="10"/>
      <c r="T30" s="99"/>
      <c r="Y30" s="148"/>
      <c r="AO30" s="6" t="s">
        <v>1165</v>
      </c>
      <c r="AP30" s="149">
        <v>3</v>
      </c>
      <c r="AQ30"/>
      <c r="VX30" s="14"/>
    </row>
    <row r="31" spans="2:596" s="405" customFormat="1" ht="12.75" customHeight="1" x14ac:dyDescent="0.25">
      <c r="B31" s="101"/>
      <c r="C31" s="10"/>
      <c r="D31" s="10"/>
      <c r="E31" s="10"/>
      <c r="I31" s="10"/>
      <c r="J31" s="10"/>
      <c r="K31" s="10"/>
      <c r="L31" s="10"/>
      <c r="M31" s="10"/>
      <c r="N31" s="10"/>
      <c r="O31" s="10"/>
      <c r="P31" s="10"/>
      <c r="Q31" s="10"/>
      <c r="R31" s="10"/>
      <c r="S31" s="10"/>
      <c r="T31" s="99"/>
      <c r="Y31" s="148"/>
      <c r="AO31" s="6" t="s">
        <v>309</v>
      </c>
      <c r="AP31" s="149">
        <v>25</v>
      </c>
      <c r="AQ31"/>
      <c r="VX31" s="14"/>
    </row>
    <row r="32" spans="2:596" s="405" customFormat="1" ht="12.75" customHeight="1" x14ac:dyDescent="0.25">
      <c r="B32" s="101"/>
      <c r="C32" s="10"/>
      <c r="D32" s="10"/>
      <c r="E32" s="10"/>
      <c r="F32" s="10"/>
      <c r="G32" s="10"/>
      <c r="H32" s="10"/>
      <c r="I32" s="10"/>
      <c r="J32" s="10"/>
      <c r="K32" s="10"/>
      <c r="L32" s="10"/>
      <c r="M32" s="10"/>
      <c r="N32" s="10"/>
      <c r="O32" s="10"/>
      <c r="P32" s="10"/>
      <c r="Q32" s="10"/>
      <c r="R32" s="10"/>
      <c r="S32" s="10"/>
      <c r="T32" s="99"/>
      <c r="Y32" s="148"/>
      <c r="AO32" s="6" t="s">
        <v>1739</v>
      </c>
      <c r="AP32" s="149">
        <v>4</v>
      </c>
      <c r="AQ32"/>
      <c r="VX32" s="14"/>
    </row>
    <row r="33" spans="2:596" s="405" customFormat="1" ht="15.75" thickBot="1" x14ac:dyDescent="0.3">
      <c r="B33" s="101"/>
      <c r="C33" s="10"/>
      <c r="D33" s="10"/>
      <c r="E33" s="10"/>
      <c r="F33" s="10"/>
      <c r="G33" s="10"/>
      <c r="H33" s="10"/>
      <c r="I33" s="10"/>
      <c r="J33" s="10"/>
      <c r="K33" s="10"/>
      <c r="L33" s="10"/>
      <c r="M33" s="10"/>
      <c r="N33" s="10"/>
      <c r="O33" s="10"/>
      <c r="P33" s="10"/>
      <c r="Q33" s="10"/>
      <c r="R33" s="10"/>
      <c r="S33" s="10"/>
      <c r="T33" s="99"/>
      <c r="Y33" s="148"/>
      <c r="AO33" s="6" t="s">
        <v>1762</v>
      </c>
      <c r="AP33" s="149">
        <v>2</v>
      </c>
      <c r="AQ33" s="31"/>
      <c r="VX33" s="14"/>
    </row>
    <row r="34" spans="2:596" s="405" customFormat="1" ht="15.75" thickBot="1" x14ac:dyDescent="0.3">
      <c r="B34" s="101"/>
      <c r="F34" s="10"/>
      <c r="G34" s="10"/>
      <c r="H34" s="10"/>
      <c r="I34" s="10"/>
      <c r="J34" s="10"/>
      <c r="K34" s="10"/>
      <c r="L34" s="10"/>
      <c r="M34" s="10"/>
      <c r="N34" s="10"/>
      <c r="O34" s="10"/>
      <c r="P34" s="10"/>
      <c r="Q34" s="10"/>
      <c r="R34" s="10"/>
      <c r="S34" s="10"/>
      <c r="T34" s="99"/>
      <c r="Y34" s="148"/>
      <c r="AO34" s="741" t="s">
        <v>1451</v>
      </c>
      <c r="AP34" s="762" t="s">
        <v>1603</v>
      </c>
      <c r="AQ34"/>
      <c r="VX34" s="14"/>
    </row>
    <row r="35" spans="2:596" s="405" customFormat="1" x14ac:dyDescent="0.25">
      <c r="B35" s="101"/>
      <c r="F35" s="10"/>
      <c r="G35" s="10"/>
      <c r="H35" s="10"/>
      <c r="I35" s="10"/>
      <c r="J35" s="10"/>
      <c r="K35" s="10"/>
      <c r="L35" s="10"/>
      <c r="M35" s="10"/>
      <c r="N35" s="10"/>
      <c r="O35" s="10"/>
      <c r="P35" s="10"/>
      <c r="Q35" s="10"/>
      <c r="R35" s="10"/>
      <c r="S35" s="10"/>
      <c r="T35" s="99"/>
      <c r="Y35" s="148"/>
      <c r="AO35" s="734" t="s">
        <v>780</v>
      </c>
      <c r="AP35" s="765">
        <v>1</v>
      </c>
      <c r="AQ35"/>
      <c r="VX35" s="14"/>
    </row>
    <row r="36" spans="2:596" s="405" customFormat="1" x14ac:dyDescent="0.25">
      <c r="B36" s="101"/>
      <c r="F36" s="10"/>
      <c r="G36" s="10"/>
      <c r="H36" s="10"/>
      <c r="I36" s="10"/>
      <c r="J36" s="10"/>
      <c r="K36" s="10"/>
      <c r="L36" s="10"/>
      <c r="M36" s="10"/>
      <c r="N36" s="10"/>
      <c r="O36" s="10"/>
      <c r="P36" s="10"/>
      <c r="Q36" s="10"/>
      <c r="R36" s="10"/>
      <c r="S36" s="10"/>
      <c r="T36" s="99"/>
      <c r="Y36" s="148"/>
      <c r="AO36" s="732" t="s">
        <v>827</v>
      </c>
      <c r="AP36" s="766">
        <v>1</v>
      </c>
      <c r="AQ36"/>
      <c r="VX36" s="14"/>
    </row>
    <row r="37" spans="2:596" s="405" customFormat="1" x14ac:dyDescent="0.25">
      <c r="B37" s="101"/>
      <c r="F37" s="10"/>
      <c r="G37" s="10"/>
      <c r="H37" s="10"/>
      <c r="I37" s="10"/>
      <c r="J37" s="10"/>
      <c r="K37" s="10"/>
      <c r="L37" s="10"/>
      <c r="M37" s="10"/>
      <c r="N37" s="10"/>
      <c r="O37" s="10"/>
      <c r="P37" s="10"/>
      <c r="Q37" s="10"/>
      <c r="R37" s="10"/>
      <c r="S37" s="10"/>
      <c r="T37" s="99"/>
      <c r="Y37" s="148"/>
      <c r="AO37" s="732" t="s">
        <v>1296</v>
      </c>
      <c r="AP37" s="766">
        <v>18</v>
      </c>
      <c r="AQ37"/>
      <c r="VX37" s="14"/>
    </row>
    <row r="38" spans="2:596" s="405" customFormat="1" ht="15.75" thickBot="1" x14ac:dyDescent="0.3">
      <c r="B38" s="101"/>
      <c r="F38" s="10"/>
      <c r="G38" s="10"/>
      <c r="H38" s="10"/>
      <c r="I38" s="10"/>
      <c r="J38" s="10"/>
      <c r="K38" s="10"/>
      <c r="L38" s="10"/>
      <c r="M38" s="10"/>
      <c r="N38" s="10"/>
      <c r="O38" s="10"/>
      <c r="P38" s="10"/>
      <c r="Q38" s="10"/>
      <c r="R38" s="10"/>
      <c r="S38" s="10"/>
      <c r="T38" s="99"/>
      <c r="Y38" s="148"/>
      <c r="AL38" s="746"/>
      <c r="AO38" s="733" t="s">
        <v>1599</v>
      </c>
      <c r="AP38" s="766">
        <v>6</v>
      </c>
      <c r="AQ38"/>
      <c r="VX38" s="14"/>
    </row>
    <row r="39" spans="2:596" s="405" customFormat="1" x14ac:dyDescent="0.25">
      <c r="B39" s="101"/>
      <c r="F39" s="10"/>
      <c r="G39" s="10"/>
      <c r="H39" s="10"/>
      <c r="I39" s="10"/>
      <c r="J39" s="10"/>
      <c r="K39" s="10"/>
      <c r="L39" s="10"/>
      <c r="M39" s="10"/>
      <c r="N39" s="10"/>
      <c r="O39" s="10"/>
      <c r="P39" s="10"/>
      <c r="Q39" s="10"/>
      <c r="R39" s="10"/>
      <c r="S39" s="10"/>
      <c r="T39" s="99"/>
      <c r="Y39" s="148"/>
      <c r="AL39" s="14">
        <f>COUNTIF(AP41:AP54,"&gt;5/1/2017")</f>
        <v>0</v>
      </c>
      <c r="AO39" s="804" t="s">
        <v>1567</v>
      </c>
      <c r="AP39" s="766">
        <v>19</v>
      </c>
      <c r="AQ39"/>
      <c r="VX39" s="14"/>
    </row>
    <row r="40" spans="2:596" s="405" customFormat="1" ht="15.75" thickBot="1" x14ac:dyDescent="0.3">
      <c r="B40" s="101"/>
      <c r="F40" s="10"/>
      <c r="G40" s="10"/>
      <c r="H40" s="10"/>
      <c r="I40" s="10"/>
      <c r="J40" s="10"/>
      <c r="K40" s="10"/>
      <c r="L40" s="10"/>
      <c r="M40" s="10"/>
      <c r="N40" s="10"/>
      <c r="O40" s="10"/>
      <c r="P40" s="10"/>
      <c r="Q40" s="10"/>
      <c r="R40" s="10"/>
      <c r="S40" s="10"/>
      <c r="T40" s="99"/>
      <c r="Y40" s="148"/>
      <c r="AO40" s="804" t="s">
        <v>420</v>
      </c>
      <c r="AP40" s="766">
        <v>43</v>
      </c>
      <c r="AQ40"/>
      <c r="VX40" s="14"/>
    </row>
    <row r="41" spans="2:596" s="405" customFormat="1" ht="15.75" thickBot="1" x14ac:dyDescent="0.3">
      <c r="B41" s="101"/>
      <c r="F41" s="10"/>
      <c r="G41" s="10"/>
      <c r="H41" s="10"/>
      <c r="I41" s="10"/>
      <c r="J41" s="10"/>
      <c r="K41" s="10"/>
      <c r="L41" s="10"/>
      <c r="M41" s="10"/>
      <c r="N41" s="10"/>
      <c r="O41" s="10"/>
      <c r="P41" s="10"/>
      <c r="Q41" s="10"/>
      <c r="R41" s="10"/>
      <c r="S41" s="10"/>
      <c r="T41" s="99"/>
      <c r="Y41" s="148"/>
      <c r="AO41" s="805" t="s">
        <v>1600</v>
      </c>
      <c r="AP41" s="766">
        <v>4</v>
      </c>
      <c r="VX41" s="14"/>
    </row>
    <row r="42" spans="2:596" s="405" customFormat="1" x14ac:dyDescent="0.25">
      <c r="B42" s="101"/>
      <c r="F42" s="10"/>
      <c r="G42" s="10"/>
      <c r="H42" s="10"/>
      <c r="I42" s="10"/>
      <c r="J42" s="10"/>
      <c r="K42" s="10"/>
      <c r="L42" s="10"/>
      <c r="M42" s="10"/>
      <c r="N42" s="10"/>
      <c r="O42" s="10"/>
      <c r="P42" s="10"/>
      <c r="Q42" s="10"/>
      <c r="R42" s="10"/>
      <c r="S42" s="10"/>
      <c r="T42" s="99"/>
      <c r="Y42" s="148"/>
      <c r="AO42" s="804" t="s">
        <v>1562</v>
      </c>
      <c r="AP42" s="766">
        <v>2</v>
      </c>
      <c r="VX42" s="14"/>
    </row>
    <row r="43" spans="2:596" s="405" customFormat="1" x14ac:dyDescent="0.25">
      <c r="B43" s="101"/>
      <c r="F43" s="10"/>
      <c r="G43" s="10"/>
      <c r="H43" s="10"/>
      <c r="I43" s="10"/>
      <c r="J43" s="10"/>
      <c r="K43" s="10"/>
      <c r="L43" s="10"/>
      <c r="M43" s="10"/>
      <c r="N43" s="10"/>
      <c r="O43" s="10"/>
      <c r="P43" s="10"/>
      <c r="Q43" s="10"/>
      <c r="R43" s="10"/>
      <c r="S43" s="10"/>
      <c r="T43" s="99"/>
      <c r="Y43" s="148"/>
      <c r="AO43" s="742" t="s">
        <v>411</v>
      </c>
      <c r="AP43" s="743">
        <v>94</v>
      </c>
      <c r="VX43" s="14"/>
    </row>
    <row r="44" spans="2:596" s="405" customFormat="1" x14ac:dyDescent="0.25">
      <c r="B44" s="101"/>
      <c r="F44" s="10"/>
      <c r="G44" s="10"/>
      <c r="H44" s="10"/>
      <c r="I44" s="10"/>
      <c r="J44" s="10"/>
      <c r="K44" s="10"/>
      <c r="L44" s="10"/>
      <c r="M44" s="10"/>
      <c r="N44" s="10"/>
      <c r="O44" s="10"/>
      <c r="P44" s="10"/>
      <c r="Q44" s="10"/>
      <c r="R44" s="10"/>
      <c r="S44" s="10"/>
      <c r="T44" s="99"/>
      <c r="Y44" s="148"/>
      <c r="VX44" s="14"/>
    </row>
    <row r="45" spans="2:596" s="405" customFormat="1" ht="12.75" customHeight="1" x14ac:dyDescent="0.25">
      <c r="B45" s="101"/>
      <c r="C45" s="10"/>
      <c r="D45" s="10"/>
      <c r="E45" s="10"/>
      <c r="F45" s="10"/>
      <c r="G45" s="10"/>
      <c r="H45" s="10"/>
      <c r="I45" s="10"/>
      <c r="J45" s="10"/>
      <c r="K45" s="10"/>
      <c r="L45" s="10"/>
      <c r="M45" s="10"/>
      <c r="N45" s="10"/>
      <c r="O45" s="10"/>
      <c r="P45" s="10"/>
      <c r="Q45" s="10"/>
      <c r="R45" s="10"/>
      <c r="S45" s="10"/>
      <c r="T45" s="99"/>
      <c r="Y45" s="148"/>
      <c r="VX45" s="14"/>
    </row>
    <row r="46" spans="2:596" s="405" customFormat="1" ht="12.75" customHeight="1" x14ac:dyDescent="0.25">
      <c r="B46" s="101"/>
      <c r="F46" s="10"/>
      <c r="G46" s="10"/>
      <c r="H46" s="10"/>
      <c r="I46" s="10"/>
      <c r="J46" s="10"/>
      <c r="K46" s="10"/>
      <c r="L46" s="10"/>
      <c r="M46" s="10"/>
      <c r="N46" s="10"/>
      <c r="O46" s="10"/>
      <c r="P46" s="10"/>
      <c r="Q46" s="10"/>
      <c r="R46" s="10"/>
      <c r="S46" s="10"/>
      <c r="T46" s="99"/>
      <c r="Y46" s="148"/>
      <c r="VX46" s="14"/>
    </row>
    <row r="47" spans="2:596" s="405" customFormat="1" ht="12.75" customHeight="1" x14ac:dyDescent="0.25">
      <c r="B47" s="101"/>
      <c r="F47" s="10"/>
      <c r="G47" s="10"/>
      <c r="H47" s="10"/>
      <c r="I47" s="10"/>
      <c r="J47" s="10"/>
      <c r="K47" s="10"/>
      <c r="L47" s="10"/>
      <c r="M47" s="10"/>
      <c r="N47" s="10"/>
      <c r="O47" s="10"/>
      <c r="P47" s="10"/>
      <c r="Q47" s="10"/>
      <c r="R47" s="10"/>
      <c r="S47" s="10"/>
      <c r="T47" s="99"/>
      <c r="Y47" s="148"/>
      <c r="VX47" s="14"/>
    </row>
    <row r="48" spans="2:596" s="405" customFormat="1" ht="12.75" customHeight="1" x14ac:dyDescent="0.25">
      <c r="B48" s="101"/>
      <c r="F48" s="10"/>
      <c r="G48" s="10"/>
      <c r="H48" s="10"/>
      <c r="I48" s="10"/>
      <c r="J48" s="10"/>
      <c r="K48" s="10"/>
      <c r="L48" s="10"/>
      <c r="M48" s="10"/>
      <c r="N48" s="10"/>
      <c r="O48" s="10"/>
      <c r="P48" s="10"/>
      <c r="Q48" s="10"/>
      <c r="R48" s="10"/>
      <c r="S48" s="10"/>
      <c r="T48" s="99"/>
      <c r="Y48" s="148"/>
      <c r="VX48" s="14"/>
    </row>
    <row r="49" spans="2:596" s="405" customFormat="1" ht="12.75" customHeight="1" x14ac:dyDescent="0.25">
      <c r="B49" s="101"/>
      <c r="F49" s="10"/>
      <c r="G49" s="10"/>
      <c r="H49" s="10"/>
      <c r="I49" s="10"/>
      <c r="J49" s="10"/>
      <c r="K49" s="10"/>
      <c r="L49" s="10"/>
      <c r="M49" s="10"/>
      <c r="N49" s="10"/>
      <c r="O49" s="10"/>
      <c r="P49" s="10"/>
      <c r="Q49" s="10"/>
      <c r="R49" s="10"/>
      <c r="S49" s="10"/>
      <c r="T49" s="99"/>
      <c r="Y49" s="148"/>
      <c r="VX49" s="14"/>
    </row>
    <row r="50" spans="2:596" s="405" customFormat="1" ht="12.75" customHeight="1" x14ac:dyDescent="0.25">
      <c r="B50" s="101"/>
      <c r="F50" s="10"/>
      <c r="G50" s="10"/>
      <c r="H50" s="10"/>
      <c r="I50" s="10"/>
      <c r="J50" s="10"/>
      <c r="K50" s="10"/>
      <c r="L50" s="10"/>
      <c r="M50" s="10"/>
      <c r="N50" s="10"/>
      <c r="O50" s="10"/>
      <c r="P50" s="10"/>
      <c r="Q50" s="10"/>
      <c r="R50" s="10"/>
      <c r="S50" s="10"/>
      <c r="T50" s="99"/>
      <c r="Y50" s="148"/>
      <c r="VX50" s="14"/>
    </row>
    <row r="51" spans="2:596" s="405" customFormat="1" ht="12.75" customHeight="1" x14ac:dyDescent="0.25">
      <c r="B51" s="101"/>
      <c r="F51" s="10"/>
      <c r="G51" s="10"/>
      <c r="H51" s="10"/>
      <c r="I51" s="10"/>
      <c r="J51" s="10"/>
      <c r="K51" s="10"/>
      <c r="L51" s="10"/>
      <c r="M51" s="10"/>
      <c r="N51" s="10"/>
      <c r="O51" s="10"/>
      <c r="P51" s="10"/>
      <c r="Q51" s="10"/>
      <c r="R51" s="10"/>
      <c r="S51" s="10"/>
      <c r="T51" s="99"/>
      <c r="Y51" s="148"/>
      <c r="VX51" s="14"/>
    </row>
    <row r="52" spans="2:596" s="405" customFormat="1" ht="12.75" customHeight="1" x14ac:dyDescent="0.25">
      <c r="B52" s="101"/>
      <c r="F52" s="10"/>
      <c r="G52" s="10"/>
      <c r="H52" s="10"/>
      <c r="I52" s="10"/>
      <c r="J52" s="10"/>
      <c r="K52" s="10"/>
      <c r="L52" s="10"/>
      <c r="M52" s="10"/>
      <c r="N52" s="10"/>
      <c r="O52" s="10"/>
      <c r="P52" s="10"/>
      <c r="Q52" s="10"/>
      <c r="R52" s="10"/>
      <c r="S52" s="10"/>
      <c r="T52" s="99"/>
      <c r="Y52" s="148"/>
      <c r="VX52" s="14"/>
    </row>
    <row r="53" spans="2:596" s="405" customFormat="1" ht="12.75" customHeight="1" x14ac:dyDescent="0.25">
      <c r="B53" s="101"/>
      <c r="F53" s="10"/>
      <c r="G53" s="10"/>
      <c r="H53" s="10"/>
      <c r="I53" s="10"/>
      <c r="J53" s="10"/>
      <c r="K53" s="10"/>
      <c r="L53" s="10"/>
      <c r="M53" s="10"/>
      <c r="N53" s="10"/>
      <c r="O53" s="10"/>
      <c r="P53" s="10"/>
      <c r="Q53" s="10"/>
      <c r="R53" s="10"/>
      <c r="S53" s="10"/>
      <c r="T53" s="99"/>
      <c r="Y53" s="148"/>
      <c r="VX53" s="14"/>
    </row>
    <row r="54" spans="2:596" ht="12.75" customHeight="1" x14ac:dyDescent="0.25">
      <c r="B54" s="101"/>
      <c r="F54" s="10"/>
      <c r="G54" s="10"/>
      <c r="H54" s="10"/>
      <c r="I54" s="10"/>
      <c r="J54" s="10"/>
      <c r="K54" s="10"/>
      <c r="L54" s="10"/>
      <c r="M54" s="10"/>
      <c r="N54" s="10"/>
      <c r="O54" s="10"/>
      <c r="P54" s="10"/>
      <c r="Q54" s="10"/>
      <c r="R54" s="10"/>
      <c r="S54" s="10"/>
      <c r="T54" s="99"/>
      <c r="AP54" s="405"/>
    </row>
    <row r="55" spans="2:596" ht="12.75" customHeight="1" x14ac:dyDescent="0.25">
      <c r="B55" s="101"/>
      <c r="F55" s="10"/>
      <c r="G55" s="10"/>
      <c r="H55" s="10"/>
      <c r="I55" s="10"/>
      <c r="J55" s="10"/>
      <c r="K55" s="10"/>
      <c r="L55" s="10"/>
      <c r="M55" s="10"/>
      <c r="N55" s="10"/>
      <c r="O55" s="10"/>
      <c r="P55" s="10"/>
      <c r="Q55" s="10"/>
      <c r="R55" s="10"/>
      <c r="S55" s="10"/>
      <c r="T55" s="99"/>
      <c r="AP55" s="405"/>
    </row>
    <row r="56" spans="2:596" x14ac:dyDescent="0.25">
      <c r="B56" s="101"/>
      <c r="F56" s="10"/>
      <c r="G56" s="10"/>
      <c r="H56" s="10"/>
      <c r="I56" s="10"/>
      <c r="J56" s="10"/>
      <c r="K56" s="10"/>
      <c r="L56" s="10"/>
      <c r="M56" s="10"/>
      <c r="N56" s="10"/>
      <c r="O56" s="10"/>
      <c r="P56" s="10"/>
      <c r="Q56" s="10"/>
      <c r="R56" s="10"/>
      <c r="S56" s="10"/>
      <c r="T56" s="99"/>
      <c r="AP56" s="405"/>
    </row>
    <row r="57" spans="2:596" ht="19.5" customHeight="1" x14ac:dyDescent="0.25">
      <c r="B57" s="101"/>
      <c r="C57" s="10"/>
      <c r="D57" s="10"/>
      <c r="E57" s="10"/>
      <c r="F57" s="10"/>
      <c r="G57" s="10"/>
      <c r="H57" s="10"/>
      <c r="I57" s="10"/>
      <c r="J57" s="10"/>
      <c r="K57" s="10"/>
      <c r="L57" s="10"/>
      <c r="M57" s="10"/>
      <c r="N57" s="10"/>
      <c r="O57" s="10"/>
      <c r="P57" s="10"/>
      <c r="Q57" s="10"/>
      <c r="R57" s="10"/>
      <c r="S57" s="10"/>
      <c r="T57" s="99"/>
    </row>
    <row r="58" spans="2:596" ht="7.5" customHeight="1" thickBot="1" x14ac:dyDescent="0.3">
      <c r="B58" s="102"/>
      <c r="C58" s="98"/>
      <c r="D58" s="98"/>
      <c r="E58" s="98"/>
      <c r="F58" s="98"/>
      <c r="G58" s="98"/>
      <c r="H58" s="98"/>
      <c r="I58" s="98"/>
      <c r="J58" s="98"/>
      <c r="K58" s="98"/>
      <c r="L58" s="98"/>
      <c r="M58" s="98"/>
      <c r="N58" s="98"/>
      <c r="O58" s="98"/>
      <c r="P58" s="98"/>
      <c r="Q58" s="98"/>
      <c r="R58" s="98"/>
      <c r="S58" s="98"/>
      <c r="T58" s="100"/>
    </row>
    <row r="59" spans="2:596" hidden="1" x14ac:dyDescent="0.25">
      <c r="C59" s="4"/>
      <c r="D59" s="4"/>
      <c r="E59" s="4"/>
      <c r="F59" s="4"/>
      <c r="N59" s="4"/>
      <c r="O59" s="4"/>
      <c r="P59" s="4"/>
      <c r="Q59" s="4"/>
    </row>
    <row r="60" spans="2:596" ht="15.75" hidden="1" thickBot="1" x14ac:dyDescent="0.3">
      <c r="G60" s="155" t="s">
        <v>458</v>
      </c>
      <c r="H60" s="405" t="s">
        <v>460</v>
      </c>
      <c r="I60" s="98"/>
      <c r="J60" s="98"/>
      <c r="K60" s="98"/>
      <c r="L60" s="98"/>
      <c r="M60" s="98"/>
    </row>
    <row r="61" spans="2:596" ht="28.5" hidden="1" customHeight="1" x14ac:dyDescent="0.25">
      <c r="G61" s="155" t="s">
        <v>972</v>
      </c>
      <c r="H61" s="405" t="s">
        <v>966</v>
      </c>
      <c r="I61" s="4"/>
      <c r="J61" s="4"/>
      <c r="K61" s="4"/>
      <c r="L61" s="4"/>
      <c r="M61" s="4"/>
    </row>
    <row r="62" spans="2:596" hidden="1" x14ac:dyDescent="0.25"/>
    <row r="63" spans="2:596" hidden="1" x14ac:dyDescent="0.25">
      <c r="G63" s="155" t="s">
        <v>410</v>
      </c>
      <c r="H63" s="405" t="s">
        <v>1039</v>
      </c>
      <c r="I63" s="405" t="s">
        <v>1254</v>
      </c>
      <c r="J63" s="405" t="s">
        <v>1255</v>
      </c>
      <c r="K63" s="405" t="s">
        <v>1256</v>
      </c>
      <c r="L63" s="405" t="s">
        <v>1040</v>
      </c>
      <c r="M63" s="405" t="s">
        <v>1041</v>
      </c>
    </row>
    <row r="64" spans="2:596" hidden="1" x14ac:dyDescent="0.25">
      <c r="G64" s="6" t="s">
        <v>828</v>
      </c>
      <c r="H64" s="149"/>
      <c r="I64" s="149"/>
      <c r="J64" s="149"/>
      <c r="K64" s="149"/>
      <c r="L64" s="149"/>
      <c r="M64" s="149"/>
    </row>
    <row r="65" spans="3:13" hidden="1" x14ac:dyDescent="0.25">
      <c r="C65"/>
      <c r="D65"/>
      <c r="G65" s="6" t="s">
        <v>420</v>
      </c>
      <c r="H65" s="149">
        <v>997</v>
      </c>
      <c r="I65" s="149">
        <v>543</v>
      </c>
      <c r="J65" s="149">
        <v>1571</v>
      </c>
      <c r="K65" s="149">
        <v>305</v>
      </c>
      <c r="L65" s="149">
        <v>343</v>
      </c>
      <c r="M65" s="149">
        <v>1310</v>
      </c>
    </row>
    <row r="66" spans="3:13" hidden="1" x14ac:dyDescent="0.25">
      <c r="C66"/>
      <c r="D66"/>
      <c r="G66" s="6" t="s">
        <v>1296</v>
      </c>
      <c r="H66" s="149">
        <v>322</v>
      </c>
      <c r="I66" s="149">
        <v>77</v>
      </c>
      <c r="J66" s="149">
        <v>454</v>
      </c>
      <c r="K66" s="149">
        <v>322</v>
      </c>
      <c r="L66" s="149"/>
      <c r="M66" s="149">
        <v>322</v>
      </c>
    </row>
    <row r="67" spans="3:13" hidden="1" x14ac:dyDescent="0.25">
      <c r="C67"/>
      <c r="D67"/>
      <c r="E67"/>
      <c r="F67"/>
      <c r="G67" s="6" t="s">
        <v>411</v>
      </c>
      <c r="H67" s="149">
        <v>1319</v>
      </c>
      <c r="I67" s="149">
        <v>620</v>
      </c>
      <c r="J67" s="149">
        <v>2025</v>
      </c>
      <c r="K67" s="149">
        <v>627</v>
      </c>
      <c r="L67" s="149">
        <v>343</v>
      </c>
      <c r="M67" s="149">
        <v>1632</v>
      </c>
    </row>
    <row r="68" spans="3:13" hidden="1" x14ac:dyDescent="0.25">
      <c r="C68" s="405" t="s">
        <v>1253</v>
      </c>
      <c r="D68" s="405" t="s">
        <v>1254</v>
      </c>
      <c r="E68" s="405" t="s">
        <v>1255</v>
      </c>
      <c r="F68" s="405" t="s">
        <v>1256</v>
      </c>
      <c r="G68" s="405" t="s">
        <v>1040</v>
      </c>
      <c r="H68" s="405" t="s">
        <v>1041</v>
      </c>
      <c r="I68"/>
      <c r="J68"/>
      <c r="K68"/>
      <c r="L68"/>
      <c r="M68"/>
    </row>
    <row r="69" spans="3:13" hidden="1" x14ac:dyDescent="0.25">
      <c r="C69" s="149">
        <v>2490</v>
      </c>
      <c r="D69" s="149">
        <v>863</v>
      </c>
      <c r="E69" s="149">
        <v>3550</v>
      </c>
      <c r="F69" s="149">
        <v>1135</v>
      </c>
      <c r="G69" s="149">
        <v>591</v>
      </c>
      <c r="H69" s="149">
        <v>2756</v>
      </c>
      <c r="I69"/>
      <c r="J69"/>
      <c r="K69"/>
      <c r="L69"/>
      <c r="M69"/>
    </row>
    <row r="70" spans="3:13" hidden="1" x14ac:dyDescent="0.25">
      <c r="C70"/>
      <c r="D70"/>
      <c r="E70"/>
      <c r="F70"/>
      <c r="G70"/>
      <c r="H70"/>
      <c r="I70"/>
      <c r="J70"/>
      <c r="K70"/>
      <c r="L70"/>
      <c r="M70"/>
    </row>
    <row r="71" spans="3:13" hidden="1" x14ac:dyDescent="0.25">
      <c r="C71"/>
      <c r="D71"/>
      <c r="E71"/>
      <c r="F71"/>
      <c r="G71"/>
      <c r="H71"/>
      <c r="I71"/>
      <c r="J71"/>
      <c r="K71"/>
      <c r="L71"/>
      <c r="M71"/>
    </row>
    <row r="72" spans="3:13" hidden="1" x14ac:dyDescent="0.25">
      <c r="C72"/>
      <c r="D72"/>
      <c r="E72"/>
      <c r="F72"/>
      <c r="G72"/>
      <c r="H72"/>
      <c r="I72"/>
      <c r="J72"/>
      <c r="K72"/>
      <c r="L72"/>
      <c r="M72"/>
    </row>
    <row r="73" spans="3:13" hidden="1" x14ac:dyDescent="0.25">
      <c r="C73"/>
      <c r="D73"/>
      <c r="E73"/>
      <c r="F73"/>
      <c r="G73"/>
      <c r="H73"/>
      <c r="I73"/>
      <c r="J73"/>
      <c r="K73"/>
      <c r="L73"/>
      <c r="M73"/>
    </row>
    <row r="74" spans="3:13" hidden="1" x14ac:dyDescent="0.25">
      <c r="C74"/>
      <c r="D74"/>
      <c r="E74"/>
      <c r="F74"/>
      <c r="G74"/>
      <c r="H74"/>
      <c r="I74"/>
      <c r="J74"/>
      <c r="K74"/>
      <c r="L74"/>
      <c r="M74"/>
    </row>
    <row r="75" spans="3:13" hidden="1" x14ac:dyDescent="0.25">
      <c r="C75"/>
      <c r="D75"/>
      <c r="E75"/>
      <c r="F75"/>
      <c r="G75"/>
      <c r="H75"/>
      <c r="I75"/>
      <c r="J75"/>
      <c r="K75"/>
      <c r="L75"/>
      <c r="M75"/>
    </row>
    <row r="76" spans="3:13" hidden="1" x14ac:dyDescent="0.25">
      <c r="C76"/>
      <c r="D76"/>
      <c r="E76"/>
      <c r="F76"/>
      <c r="G76"/>
      <c r="H76"/>
      <c r="I76"/>
      <c r="J76"/>
      <c r="K76"/>
      <c r="L76"/>
      <c r="M76"/>
    </row>
    <row r="77" spans="3:13" hidden="1" x14ac:dyDescent="0.25">
      <c r="C77"/>
      <c r="D77"/>
      <c r="E77"/>
      <c r="F77"/>
      <c r="G77"/>
      <c r="H77"/>
      <c r="I77"/>
      <c r="J77"/>
      <c r="K77"/>
      <c r="L77"/>
      <c r="M77"/>
    </row>
    <row r="78" spans="3:13" hidden="1" x14ac:dyDescent="0.25">
      <c r="C78"/>
      <c r="D78"/>
      <c r="E78"/>
      <c r="F78"/>
      <c r="G78"/>
      <c r="H78"/>
      <c r="I78"/>
      <c r="J78"/>
      <c r="K78"/>
      <c r="L78"/>
      <c r="M78"/>
    </row>
    <row r="79" spans="3:13" hidden="1" x14ac:dyDescent="0.25">
      <c r="C79"/>
      <c r="D79"/>
      <c r="E79"/>
      <c r="F79"/>
      <c r="G79"/>
      <c r="H79"/>
      <c r="I79"/>
      <c r="J79"/>
      <c r="K79"/>
      <c r="L79"/>
    </row>
    <row r="80" spans="3:13" hidden="1" x14ac:dyDescent="0.25">
      <c r="C80"/>
      <c r="D80"/>
      <c r="E80"/>
      <c r="F80"/>
      <c r="G80"/>
      <c r="H80"/>
      <c r="I80"/>
      <c r="J80"/>
      <c r="K80"/>
      <c r="L80"/>
    </row>
    <row r="81" spans="3:12" hidden="1" x14ac:dyDescent="0.25">
      <c r="C81"/>
      <c r="D81"/>
      <c r="E81"/>
      <c r="F81"/>
      <c r="G81"/>
      <c r="H81"/>
      <c r="I81"/>
      <c r="J81"/>
      <c r="K81"/>
      <c r="L81"/>
    </row>
    <row r="82" spans="3:12" hidden="1" x14ac:dyDescent="0.25">
      <c r="C82"/>
      <c r="D82"/>
      <c r="E82"/>
      <c r="F82"/>
      <c r="G82"/>
      <c r="H82"/>
      <c r="I82"/>
      <c r="J82"/>
      <c r="K82"/>
      <c r="L82"/>
    </row>
    <row r="83" spans="3:12" hidden="1" x14ac:dyDescent="0.25">
      <c r="C83"/>
      <c r="D83"/>
      <c r="E83"/>
      <c r="F83"/>
      <c r="G83"/>
      <c r="H83"/>
      <c r="I83"/>
      <c r="J83"/>
      <c r="K83"/>
      <c r="L83"/>
    </row>
    <row r="84" spans="3:12" hidden="1" x14ac:dyDescent="0.25">
      <c r="C84"/>
      <c r="D84"/>
      <c r="E84"/>
      <c r="F84"/>
      <c r="G84"/>
      <c r="H84"/>
      <c r="I84"/>
      <c r="J84"/>
      <c r="K84"/>
      <c r="L84"/>
    </row>
    <row r="85" spans="3:12" hidden="1" x14ac:dyDescent="0.25">
      <c r="C85"/>
      <c r="D85"/>
      <c r="E85"/>
      <c r="G85"/>
      <c r="H85"/>
      <c r="I85"/>
      <c r="J85"/>
      <c r="K85"/>
      <c r="L85"/>
    </row>
    <row r="86" spans="3:12" hidden="1" x14ac:dyDescent="0.25">
      <c r="G86"/>
      <c r="H86"/>
      <c r="I86"/>
      <c r="J86"/>
      <c r="K86"/>
      <c r="L86"/>
    </row>
    <row r="87" spans="3:12" hidden="1" x14ac:dyDescent="0.25">
      <c r="G87"/>
      <c r="H87"/>
      <c r="I87"/>
      <c r="J87"/>
      <c r="K87"/>
      <c r="L87"/>
    </row>
    <row r="88" spans="3:12" hidden="1" x14ac:dyDescent="0.25">
      <c r="G88"/>
      <c r="H88"/>
      <c r="I88"/>
      <c r="J88"/>
      <c r="K88"/>
      <c r="L88"/>
    </row>
    <row r="89" spans="3:12" hidden="1" x14ac:dyDescent="0.25">
      <c r="G89"/>
      <c r="H89"/>
      <c r="I89"/>
      <c r="J89"/>
      <c r="K89"/>
      <c r="L89"/>
    </row>
    <row r="90" spans="3:12" hidden="1" x14ac:dyDescent="0.25">
      <c r="G90"/>
      <c r="H90"/>
      <c r="I90"/>
      <c r="J90"/>
      <c r="K90"/>
      <c r="L90"/>
    </row>
    <row r="91" spans="3:12" hidden="1" x14ac:dyDescent="0.25">
      <c r="G91"/>
      <c r="H91"/>
      <c r="I91"/>
      <c r="J91"/>
      <c r="K91"/>
      <c r="L91"/>
    </row>
    <row r="92" spans="3:12" ht="12" customHeight="1" x14ac:dyDescent="0.25">
      <c r="G92"/>
      <c r="H92"/>
      <c r="I92"/>
      <c r="J92"/>
      <c r="K92"/>
      <c r="L92"/>
    </row>
    <row r="93" spans="3:12" x14ac:dyDescent="0.25">
      <c r="G93"/>
      <c r="H93"/>
      <c r="I93"/>
      <c r="J93"/>
      <c r="K93"/>
      <c r="L93"/>
    </row>
    <row r="94" spans="3:12" x14ac:dyDescent="0.25">
      <c r="G94"/>
      <c r="H94"/>
      <c r="I94"/>
      <c r="J94"/>
      <c r="K94"/>
      <c r="L94"/>
    </row>
    <row r="95" spans="3:12" x14ac:dyDescent="0.25">
      <c r="G95"/>
      <c r="H95"/>
      <c r="I95"/>
      <c r="J95"/>
      <c r="K95"/>
      <c r="L95"/>
    </row>
    <row r="96" spans="3:12" x14ac:dyDescent="0.25">
      <c r="G96"/>
      <c r="H96"/>
      <c r="I96"/>
      <c r="J96"/>
      <c r="K96"/>
      <c r="L96"/>
    </row>
    <row r="97" spans="3:12" x14ac:dyDescent="0.25">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C102"/>
      <c r="D102"/>
      <c r="E102"/>
      <c r="F102"/>
      <c r="G102"/>
      <c r="H102"/>
      <c r="I102"/>
      <c r="J102"/>
      <c r="K102"/>
      <c r="L102"/>
    </row>
    <row r="103" spans="3:12" x14ac:dyDescent="0.25">
      <c r="C103"/>
      <c r="D103"/>
      <c r="E103"/>
      <c r="F103"/>
      <c r="G103"/>
      <c r="H103"/>
      <c r="I103"/>
      <c r="J103"/>
      <c r="K103"/>
      <c r="L103"/>
    </row>
    <row r="104" spans="3:12" x14ac:dyDescent="0.25">
      <c r="C104"/>
      <c r="D104"/>
      <c r="E104"/>
      <c r="F104"/>
      <c r="G104"/>
      <c r="H104"/>
      <c r="I104"/>
      <c r="J104"/>
      <c r="K104"/>
      <c r="L104"/>
    </row>
    <row r="105" spans="3:12" x14ac:dyDescent="0.25">
      <c r="C105"/>
      <c r="D105"/>
      <c r="E105"/>
      <c r="F105"/>
      <c r="G105"/>
      <c r="H105"/>
      <c r="I105"/>
      <c r="J105"/>
      <c r="K105"/>
      <c r="L105"/>
    </row>
    <row r="106" spans="3:12" x14ac:dyDescent="0.25">
      <c r="C106"/>
      <c r="D106"/>
      <c r="E106"/>
      <c r="F106"/>
      <c r="G106"/>
      <c r="H106"/>
      <c r="I106"/>
      <c r="J106"/>
      <c r="K106"/>
      <c r="L106"/>
    </row>
    <row r="107" spans="3:12" x14ac:dyDescent="0.25">
      <c r="C107"/>
      <c r="D107"/>
      <c r="E107"/>
      <c r="F107"/>
      <c r="G107"/>
      <c r="H107"/>
      <c r="I107"/>
      <c r="J107"/>
      <c r="K107"/>
      <c r="L107"/>
    </row>
    <row r="108" spans="3:12" x14ac:dyDescent="0.25">
      <c r="C108"/>
      <c r="D108"/>
      <c r="E108"/>
      <c r="F108"/>
      <c r="G108"/>
      <c r="H108"/>
      <c r="I108"/>
      <c r="J108"/>
      <c r="K108"/>
      <c r="L108"/>
    </row>
    <row r="109" spans="3:12" x14ac:dyDescent="0.25">
      <c r="C109"/>
      <c r="D109"/>
      <c r="E109"/>
      <c r="F109"/>
      <c r="G109"/>
      <c r="H109"/>
      <c r="I109"/>
      <c r="J109"/>
      <c r="K109"/>
      <c r="L109"/>
    </row>
    <row r="110" spans="3:12" x14ac:dyDescent="0.25">
      <c r="C110"/>
      <c r="D110"/>
      <c r="E110"/>
      <c r="F110"/>
      <c r="G110"/>
      <c r="H110"/>
      <c r="I110"/>
      <c r="J110"/>
      <c r="K110"/>
      <c r="L110"/>
    </row>
    <row r="111" spans="3:12" x14ac:dyDescent="0.25">
      <c r="C111"/>
      <c r="D111"/>
      <c r="E111"/>
      <c r="F111"/>
      <c r="G111"/>
      <c r="H111"/>
      <c r="I111"/>
      <c r="J111"/>
      <c r="K111"/>
      <c r="L111"/>
    </row>
    <row r="112" spans="3:12" x14ac:dyDescent="0.25">
      <c r="C112"/>
      <c r="D112"/>
      <c r="E112"/>
      <c r="F112"/>
      <c r="G112"/>
      <c r="H112"/>
      <c r="I112"/>
      <c r="J112"/>
      <c r="K112"/>
      <c r="L112"/>
    </row>
    <row r="113" spans="3:12" x14ac:dyDescent="0.25">
      <c r="C113"/>
      <c r="D113"/>
      <c r="E113"/>
      <c r="F113"/>
      <c r="G113"/>
      <c r="H113"/>
      <c r="I113"/>
      <c r="J113"/>
      <c r="K113"/>
      <c r="L113"/>
    </row>
    <row r="114" spans="3:12" x14ac:dyDescent="0.25">
      <c r="C114"/>
      <c r="D114"/>
      <c r="E114"/>
      <c r="F114"/>
      <c r="G114"/>
      <c r="H114"/>
      <c r="I114"/>
      <c r="J114"/>
      <c r="K114"/>
      <c r="L114"/>
    </row>
    <row r="115" spans="3:12" x14ac:dyDescent="0.25">
      <c r="C115"/>
      <c r="D115"/>
      <c r="E115"/>
      <c r="F115"/>
      <c r="G115"/>
      <c r="H115"/>
      <c r="I115"/>
      <c r="J115"/>
      <c r="K115"/>
      <c r="L115"/>
    </row>
    <row r="116" spans="3:12" x14ac:dyDescent="0.25">
      <c r="C116"/>
      <c r="D116"/>
      <c r="E116"/>
      <c r="F116"/>
      <c r="G116"/>
      <c r="H116"/>
      <c r="I116"/>
      <c r="J116"/>
      <c r="K116"/>
      <c r="L116"/>
    </row>
    <row r="117" spans="3:12" x14ac:dyDescent="0.25">
      <c r="C117"/>
      <c r="D117"/>
      <c r="E117"/>
      <c r="F117"/>
      <c r="G117"/>
      <c r="H117"/>
      <c r="I117"/>
      <c r="J117"/>
      <c r="K117"/>
      <c r="L117"/>
    </row>
    <row r="118" spans="3:12" x14ac:dyDescent="0.25">
      <c r="C118"/>
      <c r="D118"/>
      <c r="E118"/>
      <c r="F118"/>
      <c r="G118"/>
      <c r="H118"/>
      <c r="I118"/>
      <c r="J118"/>
      <c r="K118"/>
      <c r="L118"/>
    </row>
    <row r="119" spans="3:12" x14ac:dyDescent="0.25">
      <c r="C119"/>
      <c r="D119"/>
      <c r="E119"/>
      <c r="F119"/>
      <c r="G119"/>
      <c r="H119"/>
      <c r="I119"/>
      <c r="J119"/>
      <c r="K119"/>
      <c r="L119"/>
    </row>
    <row r="120" spans="3:12" x14ac:dyDescent="0.25">
      <c r="C120"/>
      <c r="D120"/>
      <c r="E120"/>
      <c r="F120"/>
      <c r="G120"/>
      <c r="H120"/>
      <c r="I120"/>
      <c r="J120"/>
      <c r="K120"/>
      <c r="L120"/>
    </row>
    <row r="121" spans="3:12" x14ac:dyDescent="0.25">
      <c r="G121"/>
      <c r="H121"/>
      <c r="I121"/>
      <c r="J121"/>
      <c r="K121"/>
      <c r="L121"/>
    </row>
    <row r="122" spans="3:12" x14ac:dyDescent="0.25">
      <c r="G122"/>
      <c r="H122"/>
      <c r="I122"/>
      <c r="J122"/>
      <c r="K122"/>
      <c r="L122"/>
    </row>
    <row r="123" spans="3:12" x14ac:dyDescent="0.25">
      <c r="G123"/>
      <c r="H123"/>
      <c r="I123"/>
      <c r="J123"/>
      <c r="K123"/>
      <c r="L123"/>
    </row>
    <row r="124" spans="3:12" x14ac:dyDescent="0.25">
      <c r="G124"/>
      <c r="H124"/>
      <c r="I124"/>
      <c r="J124"/>
      <c r="K124"/>
      <c r="L124"/>
    </row>
    <row r="125" spans="3:12" x14ac:dyDescent="0.25">
      <c r="G125"/>
      <c r="H125"/>
      <c r="I125"/>
      <c r="J125"/>
      <c r="K125"/>
      <c r="L125"/>
    </row>
    <row r="126" spans="3:12" x14ac:dyDescent="0.25">
      <c r="G126"/>
      <c r="H126"/>
      <c r="I126"/>
      <c r="J126"/>
      <c r="K126"/>
      <c r="L126"/>
    </row>
    <row r="127" spans="3:12" x14ac:dyDescent="0.25">
      <c r="G127"/>
      <c r="H127"/>
      <c r="I127"/>
      <c r="J127"/>
      <c r="K127"/>
      <c r="L127"/>
    </row>
    <row r="128" spans="3: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landscape"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6"/>
  <sheetViews>
    <sheetView workbookViewId="0">
      <selection activeCell="A20" sqref="A20"/>
    </sheetView>
  </sheetViews>
  <sheetFormatPr defaultColWidth="8.85546875" defaultRowHeight="15" x14ac:dyDescent="0.25"/>
  <cols>
    <col min="1" max="1" width="19" style="405" customWidth="1"/>
    <col min="2" max="2" width="12.42578125" style="405" customWidth="1"/>
    <col min="3" max="5" width="8.85546875" style="405"/>
    <col min="6" max="6" width="14.28515625" style="405" customWidth="1"/>
    <col min="7" max="7" width="22.5703125" style="405" customWidth="1"/>
    <col min="8" max="8" width="20" style="405" customWidth="1"/>
    <col min="9" max="9" width="23.5703125" style="405" customWidth="1"/>
    <col min="10" max="16384" width="8.85546875" style="405"/>
  </cols>
  <sheetData>
    <row r="1" spans="1:10" x14ac:dyDescent="0.25">
      <c r="A1" s="777" t="s">
        <v>1659</v>
      </c>
      <c r="B1" s="777" t="s">
        <v>392</v>
      </c>
      <c r="C1" s="777" t="s">
        <v>392</v>
      </c>
      <c r="D1" s="777" t="s">
        <v>0</v>
      </c>
      <c r="E1" s="777" t="s">
        <v>392</v>
      </c>
      <c r="F1" s="777" t="s">
        <v>0</v>
      </c>
      <c r="G1" s="777" t="s">
        <v>1660</v>
      </c>
      <c r="H1" s="777" t="s">
        <v>1661</v>
      </c>
      <c r="I1" s="777" t="s">
        <v>1662</v>
      </c>
    </row>
    <row r="2" spans="1:10" x14ac:dyDescent="0.25">
      <c r="A2" s="405" t="s">
        <v>1663</v>
      </c>
      <c r="B2" s="405" t="s">
        <v>378</v>
      </c>
      <c r="C2" s="405" t="s">
        <v>378</v>
      </c>
      <c r="D2" s="405" t="s">
        <v>5</v>
      </c>
      <c r="E2" s="405" t="s">
        <v>378</v>
      </c>
      <c r="F2" s="405" t="s">
        <v>5</v>
      </c>
      <c r="G2" s="405" t="s">
        <v>1664</v>
      </c>
      <c r="H2" s="405" t="s">
        <v>4</v>
      </c>
      <c r="I2" s="405" t="s">
        <v>1665</v>
      </c>
      <c r="J2" s="405" t="s">
        <v>1666</v>
      </c>
    </row>
    <row r="3" spans="1:10" x14ac:dyDescent="0.25">
      <c r="A3" s="405" t="s">
        <v>1667</v>
      </c>
      <c r="B3" s="405" t="s">
        <v>507</v>
      </c>
      <c r="C3" s="405" t="s">
        <v>378</v>
      </c>
      <c r="D3" s="405" t="s">
        <v>27</v>
      </c>
      <c r="E3" s="405" t="s">
        <v>378</v>
      </c>
      <c r="F3" s="405" t="s">
        <v>5</v>
      </c>
      <c r="G3" s="405" t="s">
        <v>12</v>
      </c>
      <c r="H3" s="405" t="s">
        <v>11</v>
      </c>
      <c r="I3" s="405" t="s">
        <v>1668</v>
      </c>
      <c r="J3" s="405" t="s">
        <v>1669</v>
      </c>
    </row>
    <row r="4" spans="1:10" x14ac:dyDescent="0.25">
      <c r="A4" s="405" t="s">
        <v>1670</v>
      </c>
      <c r="C4" s="405" t="s">
        <v>378</v>
      </c>
      <c r="D4" s="405" t="s">
        <v>481</v>
      </c>
      <c r="E4" s="405" t="s">
        <v>378</v>
      </c>
      <c r="F4" s="405" t="s">
        <v>5</v>
      </c>
      <c r="G4" s="405" t="s">
        <v>22</v>
      </c>
      <c r="H4" s="405" t="s">
        <v>21</v>
      </c>
      <c r="I4" s="405" t="s">
        <v>1671</v>
      </c>
    </row>
    <row r="5" spans="1:10" x14ac:dyDescent="0.25">
      <c r="A5" s="405" t="s">
        <v>424</v>
      </c>
      <c r="C5" s="405" t="s">
        <v>378</v>
      </c>
      <c r="D5" s="405" t="s">
        <v>151</v>
      </c>
      <c r="E5" s="405" t="s">
        <v>378</v>
      </c>
      <c r="F5" s="405" t="s">
        <v>5</v>
      </c>
      <c r="G5" s="405" t="s">
        <v>14</v>
      </c>
      <c r="H5" s="405" t="s">
        <v>13</v>
      </c>
      <c r="I5" s="405" t="s">
        <v>1672</v>
      </c>
    </row>
    <row r="6" spans="1:10" x14ac:dyDescent="0.25">
      <c r="A6" s="405" t="s">
        <v>1455</v>
      </c>
      <c r="C6" s="405" t="s">
        <v>378</v>
      </c>
      <c r="D6" s="405" t="s">
        <v>173</v>
      </c>
      <c r="E6" s="405" t="s">
        <v>378</v>
      </c>
      <c r="F6" s="405" t="s">
        <v>5</v>
      </c>
      <c r="G6" s="405" t="s">
        <v>1673</v>
      </c>
      <c r="H6" s="405" t="s">
        <v>19</v>
      </c>
    </row>
    <row r="7" spans="1:10" x14ac:dyDescent="0.25">
      <c r="A7" s="405" t="s">
        <v>1674</v>
      </c>
      <c r="C7" s="405" t="s">
        <v>378</v>
      </c>
      <c r="D7" s="405" t="s">
        <v>180</v>
      </c>
      <c r="E7" s="405" t="s">
        <v>378</v>
      </c>
      <c r="F7" s="405" t="s">
        <v>5</v>
      </c>
      <c r="G7" s="405" t="s">
        <v>18</v>
      </c>
      <c r="H7" s="405" t="s">
        <v>17</v>
      </c>
    </row>
    <row r="8" spans="1:10" x14ac:dyDescent="0.25">
      <c r="A8" s="405" t="s">
        <v>1675</v>
      </c>
      <c r="C8" s="405" t="s">
        <v>378</v>
      </c>
      <c r="D8" s="405" t="s">
        <v>185</v>
      </c>
      <c r="E8" s="405" t="s">
        <v>378</v>
      </c>
      <c r="F8" s="405" t="s">
        <v>5</v>
      </c>
      <c r="G8" s="405" t="s">
        <v>364</v>
      </c>
      <c r="H8" s="405" t="s">
        <v>374</v>
      </c>
    </row>
    <row r="9" spans="1:10" x14ac:dyDescent="0.25">
      <c r="A9" s="405" t="s">
        <v>780</v>
      </c>
      <c r="C9" s="405" t="s">
        <v>378</v>
      </c>
      <c r="D9" s="405" t="s">
        <v>237</v>
      </c>
      <c r="E9" s="405" t="s">
        <v>378</v>
      </c>
      <c r="F9" s="405" t="s">
        <v>5</v>
      </c>
      <c r="G9" s="405" t="s">
        <v>1676</v>
      </c>
      <c r="H9" s="405" t="s">
        <v>375</v>
      </c>
    </row>
    <row r="10" spans="1:10" x14ac:dyDescent="0.25">
      <c r="A10" s="405" t="s">
        <v>1677</v>
      </c>
      <c r="C10" s="405" t="s">
        <v>378</v>
      </c>
      <c r="D10" s="405" t="s">
        <v>299</v>
      </c>
      <c r="E10" s="405" t="s">
        <v>378</v>
      </c>
      <c r="F10" s="405" t="s">
        <v>5</v>
      </c>
      <c r="G10" s="405" t="s">
        <v>8</v>
      </c>
      <c r="H10" s="405" t="s">
        <v>7</v>
      </c>
    </row>
    <row r="11" spans="1:10" x14ac:dyDescent="0.25">
      <c r="A11" s="405" t="s">
        <v>1296</v>
      </c>
      <c r="C11" s="405" t="s">
        <v>378</v>
      </c>
      <c r="D11" s="405" t="s">
        <v>301</v>
      </c>
      <c r="E11" s="405" t="s">
        <v>378</v>
      </c>
      <c r="F11" s="405" t="s">
        <v>5</v>
      </c>
      <c r="G11" s="405" t="s">
        <v>26</v>
      </c>
      <c r="H11" s="405" t="s">
        <v>25</v>
      </c>
    </row>
    <row r="12" spans="1:10" x14ac:dyDescent="0.25">
      <c r="A12" s="405" t="s">
        <v>462</v>
      </c>
      <c r="C12" s="405" t="s">
        <v>378</v>
      </c>
      <c r="D12" s="405" t="s">
        <v>748</v>
      </c>
      <c r="E12" s="405" t="s">
        <v>378</v>
      </c>
      <c r="F12" s="405" t="s">
        <v>5</v>
      </c>
      <c r="G12" s="405" t="s">
        <v>24</v>
      </c>
      <c r="H12" s="405" t="s">
        <v>23</v>
      </c>
    </row>
    <row r="13" spans="1:10" x14ac:dyDescent="0.25">
      <c r="A13" s="405" t="s">
        <v>1678</v>
      </c>
      <c r="C13" s="405" t="s">
        <v>378</v>
      </c>
      <c r="D13" s="405" t="s">
        <v>1165</v>
      </c>
      <c r="E13" s="405" t="s">
        <v>378</v>
      </c>
      <c r="F13" s="405" t="s">
        <v>27</v>
      </c>
      <c r="G13" s="405" t="s">
        <v>1679</v>
      </c>
      <c r="H13" s="405" t="s">
        <v>29</v>
      </c>
    </row>
    <row r="14" spans="1:10" x14ac:dyDescent="0.25">
      <c r="A14" s="405" t="s">
        <v>1562</v>
      </c>
      <c r="C14" s="405" t="s">
        <v>378</v>
      </c>
      <c r="D14" s="405" t="s">
        <v>309</v>
      </c>
      <c r="E14" s="405" t="s">
        <v>378</v>
      </c>
      <c r="F14" s="405" t="s">
        <v>27</v>
      </c>
      <c r="G14" s="405" t="s">
        <v>28</v>
      </c>
      <c r="H14" s="405" t="s">
        <v>30</v>
      </c>
    </row>
    <row r="15" spans="1:10" x14ac:dyDescent="0.25">
      <c r="A15" s="405" t="s">
        <v>420</v>
      </c>
      <c r="C15" s="405" t="s">
        <v>507</v>
      </c>
      <c r="D15" s="405" t="s">
        <v>720</v>
      </c>
      <c r="E15" s="405" t="s">
        <v>378</v>
      </c>
      <c r="F15" s="405" t="s">
        <v>27</v>
      </c>
      <c r="G15" s="405" t="s">
        <v>792</v>
      </c>
      <c r="H15" s="405" t="s">
        <v>791</v>
      </c>
    </row>
    <row r="16" spans="1:10" x14ac:dyDescent="0.25">
      <c r="A16" s="405" t="s">
        <v>775</v>
      </c>
      <c r="C16" s="405" t="s">
        <v>507</v>
      </c>
      <c r="D16" s="405" t="s">
        <v>146</v>
      </c>
      <c r="E16" s="405" t="s">
        <v>378</v>
      </c>
      <c r="F16" s="405" t="s">
        <v>27</v>
      </c>
      <c r="G16" s="405" t="s">
        <v>879</v>
      </c>
      <c r="H16" s="405" t="s">
        <v>880</v>
      </c>
    </row>
    <row r="17" spans="1:8" x14ac:dyDescent="0.25">
      <c r="A17" s="405" t="s">
        <v>827</v>
      </c>
      <c r="C17" s="405" t="s">
        <v>507</v>
      </c>
      <c r="D17" s="405" t="s">
        <v>166</v>
      </c>
      <c r="E17" s="405" t="s">
        <v>378</v>
      </c>
      <c r="F17" s="405" t="s">
        <v>27</v>
      </c>
      <c r="G17" s="405" t="s">
        <v>363</v>
      </c>
      <c r="H17" s="405" t="s">
        <v>376</v>
      </c>
    </row>
    <row r="18" spans="1:8" x14ac:dyDescent="0.25">
      <c r="C18" s="405" t="s">
        <v>507</v>
      </c>
      <c r="D18" s="405" t="s">
        <v>230</v>
      </c>
      <c r="E18" s="405" t="s">
        <v>378</v>
      </c>
      <c r="F18" s="405" t="s">
        <v>481</v>
      </c>
      <c r="G18" s="405" t="s">
        <v>1680</v>
      </c>
      <c r="H18" s="405" t="s">
        <v>119</v>
      </c>
    </row>
    <row r="19" spans="1:8" x14ac:dyDescent="0.25">
      <c r="C19" s="405" t="s">
        <v>507</v>
      </c>
      <c r="D19" s="405" t="s">
        <v>288</v>
      </c>
      <c r="E19" s="405" t="s">
        <v>378</v>
      </c>
      <c r="F19" s="405" t="s">
        <v>481</v>
      </c>
      <c r="G19" s="405" t="s">
        <v>140</v>
      </c>
      <c r="H19" s="405" t="s">
        <v>139</v>
      </c>
    </row>
    <row r="20" spans="1:8" x14ac:dyDescent="0.25">
      <c r="C20" s="405" t="s">
        <v>507</v>
      </c>
      <c r="D20" s="405" t="s">
        <v>297</v>
      </c>
      <c r="E20" s="405" t="s">
        <v>378</v>
      </c>
      <c r="F20" s="405" t="s">
        <v>481</v>
      </c>
      <c r="G20" s="405" t="s">
        <v>1681</v>
      </c>
      <c r="H20" s="405" t="s">
        <v>87</v>
      </c>
    </row>
    <row r="21" spans="1:8" x14ac:dyDescent="0.25">
      <c r="C21" s="405" t="s">
        <v>507</v>
      </c>
      <c r="D21" s="405" t="s">
        <v>1230</v>
      </c>
      <c r="E21" s="405" t="s">
        <v>378</v>
      </c>
      <c r="F21" s="405" t="s">
        <v>481</v>
      </c>
      <c r="G21" s="405" t="s">
        <v>1682</v>
      </c>
      <c r="H21" s="405" t="s">
        <v>51</v>
      </c>
    </row>
    <row r="22" spans="1:8" x14ac:dyDescent="0.25">
      <c r="D22" s="405" t="s">
        <v>718</v>
      </c>
      <c r="E22" s="405" t="s">
        <v>378</v>
      </c>
      <c r="F22" s="405" t="s">
        <v>481</v>
      </c>
      <c r="G22" s="405" t="s">
        <v>1683</v>
      </c>
      <c r="H22" s="405" t="s">
        <v>1415</v>
      </c>
    </row>
    <row r="23" spans="1:8" x14ac:dyDescent="0.25">
      <c r="E23" s="405" t="s">
        <v>378</v>
      </c>
      <c r="F23" s="405" t="s">
        <v>481</v>
      </c>
      <c r="G23" s="405" t="s">
        <v>1684</v>
      </c>
      <c r="H23" s="405" t="s">
        <v>123</v>
      </c>
    </row>
    <row r="24" spans="1:8" x14ac:dyDescent="0.25">
      <c r="E24" s="405" t="s">
        <v>378</v>
      </c>
      <c r="F24" s="405" t="s">
        <v>481</v>
      </c>
      <c r="G24" s="405" t="s">
        <v>1685</v>
      </c>
      <c r="H24" s="405" t="s">
        <v>125</v>
      </c>
    </row>
    <row r="25" spans="1:8" x14ac:dyDescent="0.25">
      <c r="E25" s="405" t="s">
        <v>378</v>
      </c>
      <c r="F25" s="405" t="s">
        <v>481</v>
      </c>
      <c r="G25" s="405" t="s">
        <v>1686</v>
      </c>
      <c r="H25" s="405" t="s">
        <v>1194</v>
      </c>
    </row>
    <row r="26" spans="1:8" x14ac:dyDescent="0.25">
      <c r="E26" s="405" t="s">
        <v>378</v>
      </c>
      <c r="F26" s="405" t="s">
        <v>481</v>
      </c>
      <c r="G26" s="405" t="s">
        <v>1687</v>
      </c>
      <c r="H26" s="405" t="s">
        <v>920</v>
      </c>
    </row>
    <row r="27" spans="1:8" x14ac:dyDescent="0.25">
      <c r="E27" s="405" t="s">
        <v>378</v>
      </c>
      <c r="F27" s="405" t="s">
        <v>481</v>
      </c>
      <c r="G27" s="405" t="s">
        <v>1688</v>
      </c>
      <c r="H27" s="405" t="s">
        <v>1191</v>
      </c>
    </row>
    <row r="28" spans="1:8" x14ac:dyDescent="0.25">
      <c r="E28" s="405" t="s">
        <v>378</v>
      </c>
      <c r="F28" s="405" t="s">
        <v>481</v>
      </c>
      <c r="G28" s="405" t="s">
        <v>100</v>
      </c>
      <c r="H28" s="405" t="s">
        <v>99</v>
      </c>
    </row>
    <row r="29" spans="1:8" x14ac:dyDescent="0.25">
      <c r="E29" s="405" t="s">
        <v>378</v>
      </c>
      <c r="F29" s="405" t="s">
        <v>481</v>
      </c>
      <c r="G29" s="405" t="s">
        <v>72</v>
      </c>
      <c r="H29" s="405" t="s">
        <v>71</v>
      </c>
    </row>
    <row r="30" spans="1:8" x14ac:dyDescent="0.25">
      <c r="E30" s="405" t="s">
        <v>378</v>
      </c>
      <c r="F30" s="405" t="s">
        <v>481</v>
      </c>
      <c r="G30" s="405" t="s">
        <v>92</v>
      </c>
      <c r="H30" s="405" t="s">
        <v>91</v>
      </c>
    </row>
    <row r="31" spans="1:8" x14ac:dyDescent="0.25">
      <c r="E31" s="405" t="s">
        <v>378</v>
      </c>
      <c r="F31" s="405" t="s">
        <v>481</v>
      </c>
      <c r="G31" s="405" t="s">
        <v>108</v>
      </c>
      <c r="H31" s="405" t="s">
        <v>107</v>
      </c>
    </row>
    <row r="32" spans="1:8" x14ac:dyDescent="0.25">
      <c r="E32" s="405" t="s">
        <v>378</v>
      </c>
      <c r="F32" s="405" t="s">
        <v>481</v>
      </c>
      <c r="G32" s="405" t="s">
        <v>1187</v>
      </c>
      <c r="H32" s="405" t="s">
        <v>1193</v>
      </c>
    </row>
    <row r="33" spans="5:8" x14ac:dyDescent="0.25">
      <c r="E33" s="405" t="s">
        <v>378</v>
      </c>
      <c r="F33" s="405" t="s">
        <v>481</v>
      </c>
      <c r="G33" s="405" t="s">
        <v>1689</v>
      </c>
      <c r="H33" s="405" t="s">
        <v>75</v>
      </c>
    </row>
    <row r="34" spans="5:8" x14ac:dyDescent="0.25">
      <c r="E34" s="405" t="s">
        <v>378</v>
      </c>
      <c r="F34" s="405" t="s">
        <v>481</v>
      </c>
      <c r="G34" s="405" t="s">
        <v>41</v>
      </c>
      <c r="H34" s="405" t="s">
        <v>40</v>
      </c>
    </row>
    <row r="35" spans="5:8" x14ac:dyDescent="0.25">
      <c r="E35" s="405" t="s">
        <v>378</v>
      </c>
      <c r="F35" s="405" t="s">
        <v>481</v>
      </c>
      <c r="G35" s="405" t="s">
        <v>90</v>
      </c>
      <c r="H35" s="405" t="s">
        <v>89</v>
      </c>
    </row>
    <row r="36" spans="5:8" x14ac:dyDescent="0.25">
      <c r="E36" s="405" t="s">
        <v>378</v>
      </c>
      <c r="F36" s="405" t="s">
        <v>481</v>
      </c>
      <c r="G36" s="405" t="s">
        <v>118</v>
      </c>
      <c r="H36" s="405" t="s">
        <v>117</v>
      </c>
    </row>
    <row r="37" spans="5:8" x14ac:dyDescent="0.25">
      <c r="E37" s="405" t="s">
        <v>378</v>
      </c>
      <c r="F37" s="405" t="s">
        <v>481</v>
      </c>
      <c r="G37" s="405" t="s">
        <v>43</v>
      </c>
      <c r="H37" s="405" t="s">
        <v>42</v>
      </c>
    </row>
    <row r="38" spans="5:8" x14ac:dyDescent="0.25">
      <c r="E38" s="405" t="s">
        <v>378</v>
      </c>
      <c r="F38" s="405" t="s">
        <v>481</v>
      </c>
      <c r="G38" s="405" t="s">
        <v>44</v>
      </c>
      <c r="H38" s="405" t="s">
        <v>45</v>
      </c>
    </row>
    <row r="39" spans="5:8" x14ac:dyDescent="0.25">
      <c r="E39" s="405" t="s">
        <v>378</v>
      </c>
      <c r="F39" s="405" t="s">
        <v>481</v>
      </c>
      <c r="G39" s="405" t="s">
        <v>552</v>
      </c>
      <c r="H39" s="405" t="s">
        <v>46</v>
      </c>
    </row>
    <row r="40" spans="5:8" x14ac:dyDescent="0.25">
      <c r="E40" s="405" t="s">
        <v>378</v>
      </c>
      <c r="F40" s="405" t="s">
        <v>151</v>
      </c>
      <c r="G40" s="405" t="s">
        <v>188</v>
      </c>
      <c r="H40" s="405" t="s">
        <v>187</v>
      </c>
    </row>
    <row r="41" spans="5:8" x14ac:dyDescent="0.25">
      <c r="E41" s="405" t="s">
        <v>378</v>
      </c>
      <c r="F41" s="405" t="s">
        <v>151</v>
      </c>
      <c r="G41" s="405" t="s">
        <v>12</v>
      </c>
      <c r="H41" s="405" t="s">
        <v>388</v>
      </c>
    </row>
    <row r="42" spans="5:8" x14ac:dyDescent="0.25">
      <c r="E42" s="405" t="s">
        <v>378</v>
      </c>
      <c r="F42" s="405" t="s">
        <v>151</v>
      </c>
      <c r="G42" s="405" t="s">
        <v>198</v>
      </c>
      <c r="H42" s="405" t="s">
        <v>197</v>
      </c>
    </row>
    <row r="43" spans="5:8" x14ac:dyDescent="0.25">
      <c r="E43" s="405" t="s">
        <v>378</v>
      </c>
      <c r="F43" s="405" t="s">
        <v>151</v>
      </c>
      <c r="G43" s="405" t="s">
        <v>1690</v>
      </c>
      <c r="H43" s="405" t="s">
        <v>850</v>
      </c>
    </row>
    <row r="44" spans="5:8" x14ac:dyDescent="0.25">
      <c r="E44" s="405" t="s">
        <v>378</v>
      </c>
      <c r="F44" s="405" t="s">
        <v>151</v>
      </c>
      <c r="G44" s="405" t="s">
        <v>152</v>
      </c>
      <c r="H44" s="405" t="s">
        <v>150</v>
      </c>
    </row>
    <row r="45" spans="5:8" x14ac:dyDescent="0.25">
      <c r="E45" s="405" t="s">
        <v>378</v>
      </c>
      <c r="F45" s="405" t="s">
        <v>151</v>
      </c>
      <c r="G45" s="405" t="s">
        <v>1691</v>
      </c>
      <c r="H45" s="405" t="s">
        <v>153</v>
      </c>
    </row>
    <row r="46" spans="5:8" x14ac:dyDescent="0.25">
      <c r="E46" s="405" t="s">
        <v>378</v>
      </c>
      <c r="F46" s="405" t="s">
        <v>151</v>
      </c>
      <c r="G46" s="405" t="s">
        <v>1692</v>
      </c>
      <c r="H46" s="405" t="s">
        <v>916</v>
      </c>
    </row>
    <row r="47" spans="5:8" x14ac:dyDescent="0.25">
      <c r="E47" s="405" t="s">
        <v>378</v>
      </c>
      <c r="F47" s="405" t="s">
        <v>151</v>
      </c>
      <c r="G47" s="405" t="s">
        <v>156</v>
      </c>
      <c r="H47" s="405" t="s">
        <v>155</v>
      </c>
    </row>
    <row r="48" spans="5:8" x14ac:dyDescent="0.25">
      <c r="E48" s="405" t="s">
        <v>378</v>
      </c>
      <c r="F48" s="405" t="s">
        <v>151</v>
      </c>
      <c r="G48" s="405" t="s">
        <v>1693</v>
      </c>
      <c r="H48" s="405" t="s">
        <v>159</v>
      </c>
    </row>
    <row r="49" spans="5:8" x14ac:dyDescent="0.25">
      <c r="E49" s="405" t="s">
        <v>378</v>
      </c>
      <c r="F49" s="405" t="s">
        <v>151</v>
      </c>
      <c r="G49" s="405" t="s">
        <v>1694</v>
      </c>
      <c r="H49" s="405" t="s">
        <v>814</v>
      </c>
    </row>
    <row r="50" spans="5:8" x14ac:dyDescent="0.25">
      <c r="E50" s="405" t="s">
        <v>378</v>
      </c>
      <c r="F50" s="405" t="s">
        <v>151</v>
      </c>
      <c r="G50" s="405" t="s">
        <v>1695</v>
      </c>
      <c r="H50" s="405" t="s">
        <v>947</v>
      </c>
    </row>
    <row r="51" spans="5:8" x14ac:dyDescent="0.25">
      <c r="E51" s="405" t="s">
        <v>378</v>
      </c>
      <c r="F51" s="405" t="s">
        <v>173</v>
      </c>
      <c r="G51" s="405" t="s">
        <v>1696</v>
      </c>
      <c r="H51" s="405" t="s">
        <v>175</v>
      </c>
    </row>
    <row r="52" spans="5:8" x14ac:dyDescent="0.25">
      <c r="E52" s="405" t="s">
        <v>378</v>
      </c>
      <c r="F52" s="405" t="s">
        <v>173</v>
      </c>
      <c r="G52" s="405" t="s">
        <v>174</v>
      </c>
      <c r="H52" s="405" t="s">
        <v>172</v>
      </c>
    </row>
    <row r="53" spans="5:8" x14ac:dyDescent="0.25">
      <c r="E53" s="405" t="s">
        <v>378</v>
      </c>
      <c r="F53" s="405" t="s">
        <v>173</v>
      </c>
      <c r="G53" s="405" t="s">
        <v>1072</v>
      </c>
      <c r="H53" s="405" t="s">
        <v>1075</v>
      </c>
    </row>
    <row r="54" spans="5:8" x14ac:dyDescent="0.25">
      <c r="E54" s="405" t="s">
        <v>378</v>
      </c>
      <c r="F54" s="405" t="s">
        <v>173</v>
      </c>
      <c r="G54" s="405" t="s">
        <v>178</v>
      </c>
      <c r="H54" s="405" t="s">
        <v>177</v>
      </c>
    </row>
    <row r="55" spans="5:8" x14ac:dyDescent="0.25">
      <c r="E55" s="405" t="s">
        <v>378</v>
      </c>
      <c r="F55" s="405" t="s">
        <v>173</v>
      </c>
      <c r="G55" s="405" t="s">
        <v>1080</v>
      </c>
      <c r="H55" s="405" t="s">
        <v>1074</v>
      </c>
    </row>
    <row r="56" spans="5:8" x14ac:dyDescent="0.25">
      <c r="E56" s="405" t="s">
        <v>378</v>
      </c>
      <c r="F56" s="405" t="s">
        <v>180</v>
      </c>
      <c r="G56" s="405" t="s">
        <v>993</v>
      </c>
      <c r="H56" s="405" t="s">
        <v>995</v>
      </c>
    </row>
    <row r="57" spans="5:8" x14ac:dyDescent="0.25">
      <c r="E57" s="405" t="s">
        <v>378</v>
      </c>
      <c r="F57" s="405" t="s">
        <v>180</v>
      </c>
      <c r="G57" s="405" t="s">
        <v>994</v>
      </c>
      <c r="H57" s="405" t="s">
        <v>996</v>
      </c>
    </row>
    <row r="58" spans="5:8" x14ac:dyDescent="0.25">
      <c r="E58" s="405" t="s">
        <v>378</v>
      </c>
      <c r="F58" s="405" t="s">
        <v>180</v>
      </c>
      <c r="G58" s="405" t="s">
        <v>286</v>
      </c>
      <c r="H58" s="405" t="s">
        <v>285</v>
      </c>
    </row>
    <row r="59" spans="5:8" x14ac:dyDescent="0.25">
      <c r="E59" s="405" t="s">
        <v>378</v>
      </c>
      <c r="F59" s="405" t="s">
        <v>180</v>
      </c>
      <c r="G59" s="405" t="s">
        <v>181</v>
      </c>
      <c r="H59" s="405" t="s">
        <v>179</v>
      </c>
    </row>
    <row r="60" spans="5:8" x14ac:dyDescent="0.25">
      <c r="E60" s="405" t="s">
        <v>378</v>
      </c>
      <c r="F60" s="405" t="s">
        <v>185</v>
      </c>
      <c r="G60" s="405" t="s">
        <v>192</v>
      </c>
      <c r="H60" s="405" t="s">
        <v>191</v>
      </c>
    </row>
    <row r="61" spans="5:8" x14ac:dyDescent="0.25">
      <c r="E61" s="405" t="s">
        <v>378</v>
      </c>
      <c r="F61" s="405" t="s">
        <v>185</v>
      </c>
      <c r="G61" s="405" t="s">
        <v>12</v>
      </c>
      <c r="H61" s="405" t="s">
        <v>389</v>
      </c>
    </row>
    <row r="62" spans="5:8" x14ac:dyDescent="0.25">
      <c r="E62" s="405" t="s">
        <v>378</v>
      </c>
      <c r="F62" s="405" t="s">
        <v>185</v>
      </c>
      <c r="G62" s="405" t="s">
        <v>194</v>
      </c>
      <c r="H62" s="405" t="s">
        <v>193</v>
      </c>
    </row>
    <row r="63" spans="5:8" x14ac:dyDescent="0.25">
      <c r="E63" s="405" t="s">
        <v>378</v>
      </c>
      <c r="F63" s="405" t="s">
        <v>185</v>
      </c>
      <c r="G63" s="405" t="s">
        <v>1697</v>
      </c>
      <c r="H63" s="405" t="s">
        <v>222</v>
      </c>
    </row>
    <row r="64" spans="5:8" x14ac:dyDescent="0.25">
      <c r="E64" s="405" t="s">
        <v>378</v>
      </c>
      <c r="F64" s="405" t="s">
        <v>185</v>
      </c>
      <c r="G64" s="405" t="s">
        <v>209</v>
      </c>
      <c r="H64" s="405" t="s">
        <v>208</v>
      </c>
    </row>
    <row r="65" spans="5:8" x14ac:dyDescent="0.25">
      <c r="E65" s="405" t="s">
        <v>378</v>
      </c>
      <c r="F65" s="405" t="s">
        <v>185</v>
      </c>
      <c r="G65" s="405" t="s">
        <v>202</v>
      </c>
      <c r="H65" s="405" t="s">
        <v>201</v>
      </c>
    </row>
    <row r="66" spans="5:8" x14ac:dyDescent="0.25">
      <c r="E66" s="405" t="s">
        <v>378</v>
      </c>
      <c r="F66" s="405" t="s">
        <v>185</v>
      </c>
      <c r="G66" s="405" t="s">
        <v>190</v>
      </c>
      <c r="H66" s="405" t="s">
        <v>189</v>
      </c>
    </row>
    <row r="67" spans="5:8" x14ac:dyDescent="0.25">
      <c r="E67" s="405" t="s">
        <v>378</v>
      </c>
      <c r="F67" s="405" t="s">
        <v>185</v>
      </c>
      <c r="G67" s="405" t="s">
        <v>186</v>
      </c>
      <c r="H67" s="405" t="s">
        <v>184</v>
      </c>
    </row>
    <row r="68" spans="5:8" x14ac:dyDescent="0.25">
      <c r="E68" s="405" t="s">
        <v>378</v>
      </c>
      <c r="F68" s="405" t="s">
        <v>185</v>
      </c>
      <c r="G68" s="405" t="s">
        <v>196</v>
      </c>
      <c r="H68" s="405" t="s">
        <v>195</v>
      </c>
    </row>
    <row r="69" spans="5:8" x14ac:dyDescent="0.25">
      <c r="E69" s="405" t="s">
        <v>378</v>
      </c>
      <c r="F69" s="405" t="s">
        <v>185</v>
      </c>
      <c r="G69" s="405" t="s">
        <v>1514</v>
      </c>
      <c r="H69" s="405" t="s">
        <v>228</v>
      </c>
    </row>
    <row r="70" spans="5:8" x14ac:dyDescent="0.25">
      <c r="E70" s="405" t="s">
        <v>378</v>
      </c>
      <c r="F70" s="405" t="s">
        <v>185</v>
      </c>
      <c r="G70" s="405" t="s">
        <v>1698</v>
      </c>
      <c r="H70" s="405" t="s">
        <v>224</v>
      </c>
    </row>
    <row r="71" spans="5:8" x14ac:dyDescent="0.25">
      <c r="E71" s="405" t="s">
        <v>378</v>
      </c>
      <c r="F71" s="405" t="s">
        <v>185</v>
      </c>
      <c r="G71" s="405" t="s">
        <v>475</v>
      </c>
      <c r="H71" s="405" t="s">
        <v>476</v>
      </c>
    </row>
    <row r="72" spans="5:8" x14ac:dyDescent="0.25">
      <c r="E72" s="405" t="s">
        <v>378</v>
      </c>
      <c r="F72" s="405" t="s">
        <v>185</v>
      </c>
      <c r="G72" s="405" t="s">
        <v>1699</v>
      </c>
      <c r="H72" s="405" t="s">
        <v>214</v>
      </c>
    </row>
    <row r="73" spans="5:8" x14ac:dyDescent="0.25">
      <c r="E73" s="405" t="s">
        <v>378</v>
      </c>
      <c r="F73" s="405" t="s">
        <v>185</v>
      </c>
      <c r="G73" s="405" t="s">
        <v>219</v>
      </c>
      <c r="H73" s="405" t="s">
        <v>218</v>
      </c>
    </row>
    <row r="74" spans="5:8" x14ac:dyDescent="0.25">
      <c r="E74" s="405" t="s">
        <v>378</v>
      </c>
      <c r="F74" s="405" t="s">
        <v>185</v>
      </c>
      <c r="G74" s="405" t="s">
        <v>213</v>
      </c>
      <c r="H74" s="405" t="s">
        <v>212</v>
      </c>
    </row>
    <row r="75" spans="5:8" x14ac:dyDescent="0.25">
      <c r="E75" s="405" t="s">
        <v>378</v>
      </c>
      <c r="F75" s="405" t="s">
        <v>237</v>
      </c>
      <c r="G75" s="405" t="s">
        <v>238</v>
      </c>
      <c r="H75" s="405" t="s">
        <v>236</v>
      </c>
    </row>
    <row r="76" spans="5:8" x14ac:dyDescent="0.25">
      <c r="E76" s="405" t="s">
        <v>378</v>
      </c>
      <c r="F76" s="405" t="s">
        <v>237</v>
      </c>
      <c r="G76" s="405" t="s">
        <v>268</v>
      </c>
      <c r="H76" s="405" t="s">
        <v>267</v>
      </c>
    </row>
    <row r="77" spans="5:8" x14ac:dyDescent="0.25">
      <c r="E77" s="405" t="s">
        <v>378</v>
      </c>
      <c r="F77" s="405" t="s">
        <v>237</v>
      </c>
      <c r="G77" s="405" t="s">
        <v>248</v>
      </c>
      <c r="H77" s="405" t="s">
        <v>247</v>
      </c>
    </row>
    <row r="78" spans="5:8" x14ac:dyDescent="0.25">
      <c r="E78" s="405" t="s">
        <v>378</v>
      </c>
      <c r="F78" s="405" t="s">
        <v>237</v>
      </c>
      <c r="G78" s="405" t="s">
        <v>278</v>
      </c>
      <c r="H78" s="405" t="s">
        <v>277</v>
      </c>
    </row>
    <row r="79" spans="5:8" x14ac:dyDescent="0.25">
      <c r="E79" s="405" t="s">
        <v>378</v>
      </c>
      <c r="F79" s="405" t="s">
        <v>237</v>
      </c>
      <c r="G79" s="405" t="s">
        <v>250</v>
      </c>
      <c r="H79" s="405" t="s">
        <v>249</v>
      </c>
    </row>
    <row r="80" spans="5:8" x14ac:dyDescent="0.25">
      <c r="E80" s="405" t="s">
        <v>378</v>
      </c>
      <c r="F80" s="405" t="s">
        <v>237</v>
      </c>
      <c r="G80" s="405" t="s">
        <v>1700</v>
      </c>
      <c r="H80" s="405" t="s">
        <v>273</v>
      </c>
    </row>
    <row r="81" spans="5:8" x14ac:dyDescent="0.25">
      <c r="E81" s="405" t="s">
        <v>378</v>
      </c>
      <c r="F81" s="405" t="s">
        <v>237</v>
      </c>
      <c r="G81" s="405" t="s">
        <v>262</v>
      </c>
      <c r="H81" s="405" t="s">
        <v>261</v>
      </c>
    </row>
    <row r="82" spans="5:8" x14ac:dyDescent="0.25">
      <c r="E82" s="405" t="s">
        <v>378</v>
      </c>
      <c r="F82" s="405" t="s">
        <v>237</v>
      </c>
      <c r="G82" s="405" t="s">
        <v>264</v>
      </c>
      <c r="H82" s="405" t="s">
        <v>263</v>
      </c>
    </row>
    <row r="83" spans="5:8" x14ac:dyDescent="0.25">
      <c r="E83" s="405" t="s">
        <v>378</v>
      </c>
      <c r="F83" s="405" t="s">
        <v>237</v>
      </c>
      <c r="G83" s="405" t="s">
        <v>1701</v>
      </c>
      <c r="H83" s="405" t="s">
        <v>275</v>
      </c>
    </row>
    <row r="84" spans="5:8" x14ac:dyDescent="0.25">
      <c r="E84" s="405" t="s">
        <v>378</v>
      </c>
      <c r="F84" s="405" t="s">
        <v>237</v>
      </c>
      <c r="G84" s="405" t="s">
        <v>1049</v>
      </c>
      <c r="H84" s="405" t="s">
        <v>241</v>
      </c>
    </row>
    <row r="85" spans="5:8" x14ac:dyDescent="0.25">
      <c r="E85" s="405" t="s">
        <v>378</v>
      </c>
      <c r="F85" s="405" t="s">
        <v>237</v>
      </c>
      <c r="G85" s="405" t="s">
        <v>260</v>
      </c>
      <c r="H85" s="405" t="s">
        <v>259</v>
      </c>
    </row>
    <row r="86" spans="5:8" x14ac:dyDescent="0.25">
      <c r="E86" s="405" t="s">
        <v>378</v>
      </c>
      <c r="F86" s="405" t="s">
        <v>237</v>
      </c>
      <c r="G86" s="405" t="s">
        <v>280</v>
      </c>
      <c r="H86" s="405" t="s">
        <v>279</v>
      </c>
    </row>
    <row r="87" spans="5:8" x14ac:dyDescent="0.25">
      <c r="E87" s="405" t="s">
        <v>378</v>
      </c>
      <c r="F87" s="405" t="s">
        <v>237</v>
      </c>
      <c r="G87" s="405" t="s">
        <v>1702</v>
      </c>
      <c r="H87" s="405" t="s">
        <v>245</v>
      </c>
    </row>
    <row r="88" spans="5:8" x14ac:dyDescent="0.25">
      <c r="E88" s="405" t="s">
        <v>378</v>
      </c>
      <c r="F88" s="405" t="s">
        <v>237</v>
      </c>
      <c r="G88" s="405" t="s">
        <v>256</v>
      </c>
      <c r="H88" s="405" t="s">
        <v>255</v>
      </c>
    </row>
    <row r="89" spans="5:8" x14ac:dyDescent="0.25">
      <c r="E89" s="405" t="s">
        <v>378</v>
      </c>
      <c r="F89" s="405" t="s">
        <v>237</v>
      </c>
      <c r="G89" s="405" t="s">
        <v>284</v>
      </c>
      <c r="H89" s="405" t="s">
        <v>283</v>
      </c>
    </row>
    <row r="90" spans="5:8" x14ac:dyDescent="0.25">
      <c r="E90" s="405" t="s">
        <v>378</v>
      </c>
      <c r="F90" s="405" t="s">
        <v>237</v>
      </c>
      <c r="G90" s="405" t="s">
        <v>1703</v>
      </c>
      <c r="H90" s="405" t="s">
        <v>239</v>
      </c>
    </row>
    <row r="91" spans="5:8" x14ac:dyDescent="0.25">
      <c r="E91" s="405" t="s">
        <v>378</v>
      </c>
      <c r="F91" s="405" t="s">
        <v>237</v>
      </c>
      <c r="G91" s="405" t="s">
        <v>258</v>
      </c>
      <c r="H91" s="405" t="s">
        <v>257</v>
      </c>
    </row>
    <row r="92" spans="5:8" x14ac:dyDescent="0.25">
      <c r="E92" s="405" t="s">
        <v>378</v>
      </c>
      <c r="F92" s="405" t="s">
        <v>237</v>
      </c>
      <c r="G92" s="405" t="s">
        <v>252</v>
      </c>
      <c r="H92" s="405" t="s">
        <v>251</v>
      </c>
    </row>
    <row r="93" spans="5:8" x14ac:dyDescent="0.25">
      <c r="E93" s="405" t="s">
        <v>378</v>
      </c>
      <c r="F93" s="405" t="s">
        <v>237</v>
      </c>
      <c r="G93" s="405" t="s">
        <v>254</v>
      </c>
      <c r="H93" s="405" t="s">
        <v>253</v>
      </c>
    </row>
    <row r="94" spans="5:8" x14ac:dyDescent="0.25">
      <c r="E94" s="405" t="s">
        <v>378</v>
      </c>
      <c r="F94" s="405" t="s">
        <v>237</v>
      </c>
      <c r="G94" s="405" t="s">
        <v>270</v>
      </c>
      <c r="H94" s="405" t="s">
        <v>269</v>
      </c>
    </row>
    <row r="95" spans="5:8" x14ac:dyDescent="0.25">
      <c r="E95" s="405" t="s">
        <v>378</v>
      </c>
      <c r="F95" s="405" t="s">
        <v>237</v>
      </c>
      <c r="G95" s="405" t="s">
        <v>272</v>
      </c>
      <c r="H95" s="405" t="s">
        <v>271</v>
      </c>
    </row>
    <row r="96" spans="5:8" x14ac:dyDescent="0.25">
      <c r="E96" s="405" t="s">
        <v>378</v>
      </c>
      <c r="F96" s="405" t="s">
        <v>299</v>
      </c>
      <c r="G96" s="405" t="s">
        <v>896</v>
      </c>
      <c r="H96" s="405" t="s">
        <v>897</v>
      </c>
    </row>
    <row r="97" spans="5:8" x14ac:dyDescent="0.25">
      <c r="E97" s="405" t="s">
        <v>378</v>
      </c>
      <c r="F97" s="405" t="s">
        <v>299</v>
      </c>
      <c r="G97" s="405" t="s">
        <v>1064</v>
      </c>
      <c r="H97" s="405" t="s">
        <v>1063</v>
      </c>
    </row>
    <row r="98" spans="5:8" x14ac:dyDescent="0.25">
      <c r="E98" s="405" t="s">
        <v>378</v>
      </c>
      <c r="F98" s="405" t="s">
        <v>299</v>
      </c>
      <c r="G98" s="405" t="s">
        <v>300</v>
      </c>
      <c r="H98" s="405" t="s">
        <v>298</v>
      </c>
    </row>
    <row r="99" spans="5:8" x14ac:dyDescent="0.25">
      <c r="E99" s="405" t="s">
        <v>378</v>
      </c>
      <c r="F99" s="405" t="s">
        <v>301</v>
      </c>
      <c r="G99" s="405" t="s">
        <v>305</v>
      </c>
      <c r="H99" s="405" t="s">
        <v>304</v>
      </c>
    </row>
    <row r="100" spans="5:8" x14ac:dyDescent="0.25">
      <c r="E100" s="405" t="s">
        <v>378</v>
      </c>
      <c r="F100" s="405" t="s">
        <v>301</v>
      </c>
      <c r="G100" s="405" t="s">
        <v>303</v>
      </c>
      <c r="H100" s="405" t="s">
        <v>302</v>
      </c>
    </row>
    <row r="101" spans="5:8" x14ac:dyDescent="0.25">
      <c r="E101" s="405" t="s">
        <v>378</v>
      </c>
      <c r="F101" s="405" t="s">
        <v>301</v>
      </c>
      <c r="G101" s="405" t="s">
        <v>307</v>
      </c>
      <c r="H101" s="405" t="s">
        <v>306</v>
      </c>
    </row>
    <row r="102" spans="5:8" x14ac:dyDescent="0.25">
      <c r="E102" s="405" t="s">
        <v>378</v>
      </c>
      <c r="F102" s="405" t="s">
        <v>748</v>
      </c>
      <c r="G102" s="405" t="s">
        <v>1084</v>
      </c>
      <c r="H102" s="405" t="s">
        <v>1085</v>
      </c>
    </row>
    <row r="103" spans="5:8" x14ac:dyDescent="0.25">
      <c r="E103" s="405" t="s">
        <v>378</v>
      </c>
      <c r="F103" s="405" t="s">
        <v>748</v>
      </c>
      <c r="G103" s="405" t="s">
        <v>1086</v>
      </c>
      <c r="H103" s="405" t="s">
        <v>1087</v>
      </c>
    </row>
    <row r="104" spans="5:8" x14ac:dyDescent="0.25">
      <c r="E104" s="405" t="s">
        <v>378</v>
      </c>
      <c r="F104" s="405" t="s">
        <v>748</v>
      </c>
      <c r="G104" s="405" t="s">
        <v>748</v>
      </c>
      <c r="H104" s="405" t="s">
        <v>752</v>
      </c>
    </row>
    <row r="105" spans="5:8" x14ac:dyDescent="0.25">
      <c r="E105" s="405" t="s">
        <v>378</v>
      </c>
      <c r="F105" s="405" t="s">
        <v>1165</v>
      </c>
      <c r="G105" s="405" t="s">
        <v>1604</v>
      </c>
      <c r="H105" s="405" t="s">
        <v>1607</v>
      </c>
    </row>
    <row r="106" spans="5:8" x14ac:dyDescent="0.25">
      <c r="E106" s="405" t="s">
        <v>378</v>
      </c>
      <c r="F106" s="405" t="s">
        <v>1165</v>
      </c>
      <c r="G106" s="405" t="s">
        <v>1592</v>
      </c>
      <c r="H106" s="405" t="s">
        <v>1608</v>
      </c>
    </row>
    <row r="107" spans="5:8" x14ac:dyDescent="0.25">
      <c r="E107" s="405" t="s">
        <v>378</v>
      </c>
      <c r="F107" s="405" t="s">
        <v>1165</v>
      </c>
      <c r="G107" s="405" t="s">
        <v>1593</v>
      </c>
      <c r="H107" s="405" t="s">
        <v>1609</v>
      </c>
    </row>
    <row r="108" spans="5:8" x14ac:dyDescent="0.25">
      <c r="E108" s="405" t="s">
        <v>378</v>
      </c>
      <c r="F108" s="405" t="s">
        <v>1165</v>
      </c>
      <c r="G108" s="405" t="s">
        <v>1594</v>
      </c>
      <c r="H108" s="405" t="s">
        <v>1610</v>
      </c>
    </row>
    <row r="109" spans="5:8" x14ac:dyDescent="0.25">
      <c r="E109" s="405" t="s">
        <v>378</v>
      </c>
      <c r="F109" s="405" t="s">
        <v>309</v>
      </c>
      <c r="G109" s="405" t="s">
        <v>333</v>
      </c>
      <c r="H109" s="405" t="s">
        <v>332</v>
      </c>
    </row>
    <row r="110" spans="5:8" x14ac:dyDescent="0.25">
      <c r="E110" s="405" t="s">
        <v>378</v>
      </c>
      <c r="F110" s="405" t="s">
        <v>309</v>
      </c>
      <c r="G110" s="405" t="s">
        <v>349</v>
      </c>
      <c r="H110" s="405" t="s">
        <v>348</v>
      </c>
    </row>
    <row r="111" spans="5:8" x14ac:dyDescent="0.25">
      <c r="E111" s="405" t="s">
        <v>378</v>
      </c>
      <c r="F111" s="405" t="s">
        <v>309</v>
      </c>
      <c r="G111" s="405" t="s">
        <v>312</v>
      </c>
      <c r="H111" s="405" t="s">
        <v>311</v>
      </c>
    </row>
    <row r="112" spans="5:8" x14ac:dyDescent="0.25">
      <c r="E112" s="405" t="s">
        <v>378</v>
      </c>
      <c r="F112" s="405" t="s">
        <v>309</v>
      </c>
      <c r="G112" s="405" t="s">
        <v>337</v>
      </c>
      <c r="H112" s="405" t="s">
        <v>336</v>
      </c>
    </row>
    <row r="113" spans="5:8" x14ac:dyDescent="0.25">
      <c r="E113" s="405" t="s">
        <v>378</v>
      </c>
      <c r="F113" s="405" t="s">
        <v>309</v>
      </c>
      <c r="G113" s="405" t="s">
        <v>327</v>
      </c>
      <c r="H113" s="405" t="s">
        <v>326</v>
      </c>
    </row>
    <row r="114" spans="5:8" x14ac:dyDescent="0.25">
      <c r="E114" s="405" t="s">
        <v>378</v>
      </c>
      <c r="F114" s="405" t="s">
        <v>309</v>
      </c>
      <c r="G114" s="405" t="s">
        <v>340</v>
      </c>
      <c r="H114" s="405" t="s">
        <v>339</v>
      </c>
    </row>
    <row r="115" spans="5:8" x14ac:dyDescent="0.25">
      <c r="E115" s="405" t="s">
        <v>378</v>
      </c>
      <c r="F115" s="405" t="s">
        <v>309</v>
      </c>
      <c r="G115" s="405" t="s">
        <v>319</v>
      </c>
      <c r="H115" s="405" t="s">
        <v>318</v>
      </c>
    </row>
    <row r="116" spans="5:8" x14ac:dyDescent="0.25">
      <c r="E116" s="405" t="s">
        <v>378</v>
      </c>
      <c r="F116" s="405" t="s">
        <v>309</v>
      </c>
      <c r="G116" s="405" t="s">
        <v>325</v>
      </c>
      <c r="H116" s="405" t="s">
        <v>324</v>
      </c>
    </row>
    <row r="117" spans="5:8" x14ac:dyDescent="0.25">
      <c r="E117" s="405" t="s">
        <v>378</v>
      </c>
      <c r="F117" s="405" t="s">
        <v>309</v>
      </c>
      <c r="G117" s="405" t="s">
        <v>323</v>
      </c>
      <c r="H117" s="405" t="s">
        <v>322</v>
      </c>
    </row>
    <row r="118" spans="5:8" x14ac:dyDescent="0.25">
      <c r="E118" s="405" t="s">
        <v>378</v>
      </c>
      <c r="F118" s="405" t="s">
        <v>309</v>
      </c>
      <c r="G118" s="405" t="s">
        <v>345</v>
      </c>
      <c r="H118" s="405" t="s">
        <v>344</v>
      </c>
    </row>
    <row r="119" spans="5:8" x14ac:dyDescent="0.25">
      <c r="E119" s="405" t="s">
        <v>378</v>
      </c>
      <c r="F119" s="405" t="s">
        <v>309</v>
      </c>
      <c r="G119" s="405" t="s">
        <v>753</v>
      </c>
      <c r="H119" s="405" t="s">
        <v>754</v>
      </c>
    </row>
    <row r="120" spans="5:8" x14ac:dyDescent="0.25">
      <c r="E120" s="405" t="s">
        <v>378</v>
      </c>
      <c r="F120" s="405" t="s">
        <v>309</v>
      </c>
      <c r="G120" s="405" t="s">
        <v>317</v>
      </c>
      <c r="H120" s="405" t="s">
        <v>316</v>
      </c>
    </row>
    <row r="121" spans="5:8" x14ac:dyDescent="0.25">
      <c r="E121" s="405" t="s">
        <v>378</v>
      </c>
      <c r="F121" s="405" t="s">
        <v>309</v>
      </c>
      <c r="G121" s="405" t="s">
        <v>342</v>
      </c>
      <c r="H121" s="405" t="s">
        <v>341</v>
      </c>
    </row>
    <row r="122" spans="5:8" x14ac:dyDescent="0.25">
      <c r="E122" s="405" t="s">
        <v>378</v>
      </c>
      <c r="F122" s="405" t="s">
        <v>309</v>
      </c>
      <c r="G122" s="405" t="s">
        <v>347</v>
      </c>
      <c r="H122" s="405" t="s">
        <v>346</v>
      </c>
    </row>
    <row r="123" spans="5:8" x14ac:dyDescent="0.25">
      <c r="E123" s="405" t="s">
        <v>378</v>
      </c>
      <c r="F123" s="405" t="s">
        <v>309</v>
      </c>
      <c r="G123" s="405" t="s">
        <v>1704</v>
      </c>
      <c r="H123" s="405" t="s">
        <v>314</v>
      </c>
    </row>
    <row r="124" spans="5:8" x14ac:dyDescent="0.25">
      <c r="E124" s="405" t="s">
        <v>378</v>
      </c>
      <c r="F124" s="405" t="s">
        <v>309</v>
      </c>
      <c r="G124" s="405" t="s">
        <v>321</v>
      </c>
      <c r="H124" s="405" t="s">
        <v>320</v>
      </c>
    </row>
    <row r="125" spans="5:8" x14ac:dyDescent="0.25">
      <c r="E125" s="405" t="s">
        <v>378</v>
      </c>
      <c r="F125" s="405" t="s">
        <v>309</v>
      </c>
      <c r="G125" s="405" t="s">
        <v>329</v>
      </c>
      <c r="H125" s="405" t="s">
        <v>328</v>
      </c>
    </row>
    <row r="126" spans="5:8" x14ac:dyDescent="0.25">
      <c r="E126" s="405" t="s">
        <v>378</v>
      </c>
      <c r="F126" s="405" t="s">
        <v>309</v>
      </c>
      <c r="G126" s="405" t="s">
        <v>1705</v>
      </c>
      <c r="H126" s="405" t="s">
        <v>334</v>
      </c>
    </row>
    <row r="127" spans="5:8" x14ac:dyDescent="0.25">
      <c r="E127" s="405" t="s">
        <v>378</v>
      </c>
      <c r="F127" s="405" t="s">
        <v>309</v>
      </c>
      <c r="G127" s="405" t="s">
        <v>1048</v>
      </c>
      <c r="H127" s="405" t="s">
        <v>343</v>
      </c>
    </row>
    <row r="128" spans="5:8" x14ac:dyDescent="0.25">
      <c r="E128" s="405" t="s">
        <v>378</v>
      </c>
      <c r="F128" s="405" t="s">
        <v>309</v>
      </c>
      <c r="G128" s="405" t="s">
        <v>353</v>
      </c>
      <c r="H128" s="405" t="s">
        <v>352</v>
      </c>
    </row>
    <row r="129" spans="5:8" x14ac:dyDescent="0.25">
      <c r="E129" s="405" t="s">
        <v>378</v>
      </c>
      <c r="F129" s="405" t="s">
        <v>309</v>
      </c>
      <c r="G129" s="405" t="s">
        <v>1706</v>
      </c>
      <c r="H129" s="405" t="s">
        <v>338</v>
      </c>
    </row>
    <row r="130" spans="5:8" x14ac:dyDescent="0.25">
      <c r="E130" s="405" t="s">
        <v>378</v>
      </c>
      <c r="F130" s="405" t="s">
        <v>309</v>
      </c>
      <c r="G130" s="405" t="s">
        <v>351</v>
      </c>
      <c r="H130" s="405" t="s">
        <v>350</v>
      </c>
    </row>
    <row r="131" spans="5:8" x14ac:dyDescent="0.25">
      <c r="E131" s="405" t="s">
        <v>378</v>
      </c>
      <c r="F131" s="405" t="s">
        <v>309</v>
      </c>
      <c r="G131" s="405" t="s">
        <v>1707</v>
      </c>
      <c r="H131" s="405" t="s">
        <v>1299</v>
      </c>
    </row>
    <row r="132" spans="5:8" x14ac:dyDescent="0.25">
      <c r="E132" s="405" t="s">
        <v>378</v>
      </c>
      <c r="F132" s="405" t="s">
        <v>309</v>
      </c>
      <c r="G132" s="405" t="s">
        <v>1290</v>
      </c>
      <c r="H132" s="405" t="s">
        <v>1287</v>
      </c>
    </row>
    <row r="133" spans="5:8" x14ac:dyDescent="0.25">
      <c r="E133" s="405" t="s">
        <v>507</v>
      </c>
      <c r="F133" s="405" t="s">
        <v>720</v>
      </c>
      <c r="G133" s="405" t="s">
        <v>536</v>
      </c>
      <c r="H133" s="405" t="s">
        <v>774</v>
      </c>
    </row>
    <row r="134" spans="5:8" x14ac:dyDescent="0.25">
      <c r="E134" s="405" t="s">
        <v>507</v>
      </c>
      <c r="F134" s="405" t="s">
        <v>720</v>
      </c>
      <c r="G134" s="405" t="s">
        <v>1708</v>
      </c>
      <c r="H134" s="405" t="s">
        <v>1062</v>
      </c>
    </row>
    <row r="135" spans="5:8" x14ac:dyDescent="0.25">
      <c r="E135" s="405" t="s">
        <v>507</v>
      </c>
      <c r="F135" s="405" t="s">
        <v>146</v>
      </c>
      <c r="G135" s="405" t="s">
        <v>369</v>
      </c>
      <c r="H135" s="405" t="s">
        <v>147</v>
      </c>
    </row>
    <row r="136" spans="5:8" x14ac:dyDescent="0.25">
      <c r="E136" s="405" t="s">
        <v>507</v>
      </c>
      <c r="F136" s="405" t="s">
        <v>146</v>
      </c>
      <c r="G136" s="405" t="s">
        <v>149</v>
      </c>
      <c r="H136" s="405" t="s">
        <v>148</v>
      </c>
    </row>
    <row r="137" spans="5:8" x14ac:dyDescent="0.25">
      <c r="E137" s="405" t="s">
        <v>507</v>
      </c>
      <c r="F137" s="405" t="s">
        <v>146</v>
      </c>
      <c r="G137" s="405" t="s">
        <v>367</v>
      </c>
      <c r="H137" s="405" t="s">
        <v>381</v>
      </c>
    </row>
    <row r="138" spans="5:8" x14ac:dyDescent="0.25">
      <c r="E138" s="405" t="s">
        <v>507</v>
      </c>
      <c r="F138" s="405" t="s">
        <v>146</v>
      </c>
      <c r="G138" s="405" t="s">
        <v>368</v>
      </c>
      <c r="H138" s="405" t="s">
        <v>382</v>
      </c>
    </row>
    <row r="139" spans="5:8" x14ac:dyDescent="0.25">
      <c r="E139" s="405" t="s">
        <v>507</v>
      </c>
      <c r="F139" s="405" t="s">
        <v>146</v>
      </c>
      <c r="G139" s="405" t="s">
        <v>366</v>
      </c>
      <c r="H139" s="405" t="s">
        <v>383</v>
      </c>
    </row>
    <row r="140" spans="5:8" x14ac:dyDescent="0.25">
      <c r="E140" s="405" t="s">
        <v>507</v>
      </c>
      <c r="F140" s="405" t="s">
        <v>146</v>
      </c>
      <c r="G140" s="405" t="s">
        <v>1709</v>
      </c>
      <c r="H140" s="405" t="s">
        <v>385</v>
      </c>
    </row>
    <row r="141" spans="5:8" x14ac:dyDescent="0.25">
      <c r="E141" s="405" t="s">
        <v>507</v>
      </c>
      <c r="F141" s="405" t="s">
        <v>146</v>
      </c>
      <c r="G141" s="405" t="s">
        <v>1710</v>
      </c>
      <c r="H141" s="405" t="s">
        <v>950</v>
      </c>
    </row>
    <row r="142" spans="5:8" x14ac:dyDescent="0.25">
      <c r="E142" s="405" t="s">
        <v>507</v>
      </c>
      <c r="F142" s="405" t="s">
        <v>146</v>
      </c>
      <c r="G142" s="405" t="s">
        <v>1100</v>
      </c>
      <c r="H142" s="405" t="s">
        <v>1101</v>
      </c>
    </row>
    <row r="143" spans="5:8" x14ac:dyDescent="0.25">
      <c r="E143" s="405" t="s">
        <v>507</v>
      </c>
      <c r="F143" s="405" t="s">
        <v>146</v>
      </c>
      <c r="G143" s="405" t="s">
        <v>1711</v>
      </c>
      <c r="H143" s="405" t="s">
        <v>1149</v>
      </c>
    </row>
    <row r="144" spans="5:8" x14ac:dyDescent="0.25">
      <c r="E144" s="405" t="s">
        <v>507</v>
      </c>
      <c r="F144" s="405" t="s">
        <v>146</v>
      </c>
      <c r="G144" s="405" t="s">
        <v>1160</v>
      </c>
      <c r="H144" s="405" t="s">
        <v>1154</v>
      </c>
    </row>
    <row r="145" spans="5:8" x14ac:dyDescent="0.25">
      <c r="E145" s="405" t="s">
        <v>507</v>
      </c>
      <c r="F145" s="405" t="s">
        <v>146</v>
      </c>
      <c r="G145" s="405" t="s">
        <v>1175</v>
      </c>
      <c r="H145" s="405" t="s">
        <v>1156</v>
      </c>
    </row>
    <row r="146" spans="5:8" x14ac:dyDescent="0.25">
      <c r="E146" s="405" t="s">
        <v>507</v>
      </c>
      <c r="F146" s="405" t="s">
        <v>146</v>
      </c>
      <c r="G146" s="405" t="s">
        <v>1273</v>
      </c>
      <c r="H146" s="405" t="s">
        <v>1274</v>
      </c>
    </row>
    <row r="147" spans="5:8" x14ac:dyDescent="0.25">
      <c r="E147" s="405" t="s">
        <v>507</v>
      </c>
      <c r="F147" s="405" t="s">
        <v>146</v>
      </c>
      <c r="G147" s="405" t="s">
        <v>1712</v>
      </c>
      <c r="H147" s="405" t="s">
        <v>1262</v>
      </c>
    </row>
    <row r="148" spans="5:8" x14ac:dyDescent="0.25">
      <c r="E148" s="405" t="s">
        <v>507</v>
      </c>
      <c r="F148" s="405" t="s">
        <v>166</v>
      </c>
      <c r="G148" s="405" t="s">
        <v>167</v>
      </c>
      <c r="H148" s="405" t="s">
        <v>165</v>
      </c>
    </row>
    <row r="149" spans="5:8" x14ac:dyDescent="0.25">
      <c r="E149" s="405" t="s">
        <v>507</v>
      </c>
      <c r="F149" s="405" t="s">
        <v>166</v>
      </c>
      <c r="G149" s="405" t="s">
        <v>1713</v>
      </c>
      <c r="H149" s="405" t="s">
        <v>763</v>
      </c>
    </row>
    <row r="150" spans="5:8" x14ac:dyDescent="0.25">
      <c r="E150" s="405" t="s">
        <v>507</v>
      </c>
      <c r="F150" s="405" t="s">
        <v>166</v>
      </c>
      <c r="G150" s="405" t="s">
        <v>1169</v>
      </c>
      <c r="H150" s="405" t="s">
        <v>1151</v>
      </c>
    </row>
    <row r="151" spans="5:8" x14ac:dyDescent="0.25">
      <c r="E151" s="405" t="s">
        <v>507</v>
      </c>
      <c r="F151" s="405" t="s">
        <v>230</v>
      </c>
      <c r="G151" s="405" t="s">
        <v>907</v>
      </c>
      <c r="H151" s="405" t="s">
        <v>908</v>
      </c>
    </row>
    <row r="152" spans="5:8" x14ac:dyDescent="0.25">
      <c r="E152" s="405" t="s">
        <v>507</v>
      </c>
      <c r="F152" s="405" t="s">
        <v>230</v>
      </c>
      <c r="G152" s="405" t="s">
        <v>917</v>
      </c>
      <c r="H152" s="405" t="s">
        <v>918</v>
      </c>
    </row>
    <row r="153" spans="5:8" x14ac:dyDescent="0.25">
      <c r="E153" s="405" t="s">
        <v>507</v>
      </c>
      <c r="F153" s="405" t="s">
        <v>230</v>
      </c>
      <c r="G153" s="405" t="s">
        <v>717</v>
      </c>
      <c r="H153" s="405" t="s">
        <v>1278</v>
      </c>
    </row>
    <row r="154" spans="5:8" x14ac:dyDescent="0.25">
      <c r="E154" s="405" t="s">
        <v>507</v>
      </c>
      <c r="F154" s="405" t="s">
        <v>230</v>
      </c>
      <c r="G154" s="405" t="s">
        <v>359</v>
      </c>
      <c r="H154" s="405" t="s">
        <v>773</v>
      </c>
    </row>
    <row r="155" spans="5:8" x14ac:dyDescent="0.25">
      <c r="E155" s="405" t="s">
        <v>507</v>
      </c>
      <c r="F155" s="405" t="s">
        <v>288</v>
      </c>
      <c r="G155" s="405" t="s">
        <v>289</v>
      </c>
      <c r="H155" s="405" t="s">
        <v>287</v>
      </c>
    </row>
    <row r="156" spans="5:8" x14ac:dyDescent="0.25">
      <c r="E156" s="405" t="s">
        <v>507</v>
      </c>
      <c r="F156" s="405" t="s">
        <v>288</v>
      </c>
      <c r="G156" s="405" t="s">
        <v>1714</v>
      </c>
      <c r="H156" s="405" t="s">
        <v>294</v>
      </c>
    </row>
    <row r="157" spans="5:8" x14ac:dyDescent="0.25">
      <c r="E157" s="405" t="s">
        <v>507</v>
      </c>
      <c r="F157" s="405" t="s">
        <v>288</v>
      </c>
      <c r="G157" s="405" t="s">
        <v>291</v>
      </c>
      <c r="H157" s="405" t="s">
        <v>290</v>
      </c>
    </row>
    <row r="158" spans="5:8" x14ac:dyDescent="0.25">
      <c r="E158" s="405" t="s">
        <v>507</v>
      </c>
      <c r="F158" s="405" t="s">
        <v>288</v>
      </c>
      <c r="G158" s="405" t="s">
        <v>1715</v>
      </c>
      <c r="H158" s="405" t="s">
        <v>910</v>
      </c>
    </row>
    <row r="159" spans="5:8" x14ac:dyDescent="0.25">
      <c r="E159" s="405" t="s">
        <v>507</v>
      </c>
      <c r="F159" s="405" t="s">
        <v>288</v>
      </c>
      <c r="G159" s="405" t="s">
        <v>1716</v>
      </c>
      <c r="H159" s="405" t="s">
        <v>914</v>
      </c>
    </row>
    <row r="160" spans="5:8" x14ac:dyDescent="0.25">
      <c r="E160" s="405" t="s">
        <v>507</v>
      </c>
      <c r="F160" s="405" t="s">
        <v>288</v>
      </c>
      <c r="G160" s="405" t="s">
        <v>1159</v>
      </c>
      <c r="H160" s="405" t="s">
        <v>1153</v>
      </c>
    </row>
    <row r="161" spans="5:8" x14ac:dyDescent="0.25">
      <c r="E161" s="405" t="s">
        <v>507</v>
      </c>
      <c r="F161" s="405" t="s">
        <v>297</v>
      </c>
      <c r="G161" s="405" t="s">
        <v>761</v>
      </c>
      <c r="H161" s="405" t="s">
        <v>296</v>
      </c>
    </row>
    <row r="162" spans="5:8" x14ac:dyDescent="0.25">
      <c r="E162" s="405" t="s">
        <v>507</v>
      </c>
      <c r="F162" s="405" t="s">
        <v>297</v>
      </c>
      <c r="G162" s="405" t="s">
        <v>1166</v>
      </c>
      <c r="H162" s="405" t="s">
        <v>1150</v>
      </c>
    </row>
    <row r="163" spans="5:8" x14ac:dyDescent="0.25">
      <c r="E163" s="405" t="s">
        <v>507</v>
      </c>
      <c r="F163" s="405" t="s">
        <v>297</v>
      </c>
      <c r="G163" s="405" t="s">
        <v>1218</v>
      </c>
      <c r="H163" s="405" t="s">
        <v>1200</v>
      </c>
    </row>
    <row r="164" spans="5:8" x14ac:dyDescent="0.25">
      <c r="E164" s="405" t="s">
        <v>507</v>
      </c>
      <c r="F164" s="405" t="s">
        <v>297</v>
      </c>
      <c r="G164" s="405" t="s">
        <v>1717</v>
      </c>
      <c r="H164" s="405" t="s">
        <v>1424</v>
      </c>
    </row>
    <row r="165" spans="5:8" x14ac:dyDescent="0.25">
      <c r="E165" s="405" t="s">
        <v>507</v>
      </c>
      <c r="F165" s="405" t="s">
        <v>297</v>
      </c>
      <c r="G165" s="405" t="s">
        <v>1221</v>
      </c>
      <c r="H165" s="405" t="s">
        <v>1203</v>
      </c>
    </row>
    <row r="166" spans="5:8" x14ac:dyDescent="0.25">
      <c r="E166" s="405" t="s">
        <v>507</v>
      </c>
      <c r="F166" s="405" t="s">
        <v>1230</v>
      </c>
      <c r="G166" s="405" t="s">
        <v>1227</v>
      </c>
      <c r="H166" s="405" t="s">
        <v>1215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43" customWidth="1"/>
    <col min="12" max="12" width="15.28515625" customWidth="1"/>
    <col min="13" max="13" width="15.28515625" style="43" customWidth="1"/>
    <col min="14" max="14" width="14.85546875" customWidth="1"/>
    <col min="16" max="16" width="22.5703125" customWidth="1"/>
    <col min="17" max="17" width="21.42578125" customWidth="1"/>
  </cols>
  <sheetData>
    <row r="1" spans="1:19" s="11" customFormat="1" x14ac:dyDescent="0.25">
      <c r="A1" s="11" t="s">
        <v>446</v>
      </c>
      <c r="B1" s="11" t="s">
        <v>448</v>
      </c>
      <c r="C1" s="11" t="s">
        <v>447</v>
      </c>
      <c r="D1" s="11" t="s">
        <v>406</v>
      </c>
      <c r="E1" s="11" t="s">
        <v>450</v>
      </c>
      <c r="F1" s="11" t="s">
        <v>449</v>
      </c>
      <c r="J1" s="2" t="s">
        <v>392</v>
      </c>
      <c r="K1" s="2"/>
      <c r="L1" s="2" t="s">
        <v>378</v>
      </c>
      <c r="M1" s="2"/>
      <c r="N1" s="2" t="s">
        <v>507</v>
      </c>
      <c r="O1" s="2"/>
      <c r="P1" s="2" t="s">
        <v>398</v>
      </c>
      <c r="Q1" s="2" t="s">
        <v>459</v>
      </c>
      <c r="R1"/>
      <c r="S1" s="2" t="s">
        <v>1088</v>
      </c>
    </row>
    <row r="2" spans="1:19" x14ac:dyDescent="0.25">
      <c r="A2" t="s">
        <v>415</v>
      </c>
      <c r="B2" t="s">
        <v>439</v>
      </c>
      <c r="C2" t="s">
        <v>429</v>
      </c>
      <c r="D2" t="s">
        <v>432</v>
      </c>
      <c r="E2" s="43">
        <v>12</v>
      </c>
      <c r="F2">
        <v>2</v>
      </c>
      <c r="J2" s="14" t="s">
        <v>378</v>
      </c>
      <c r="K2" s="14"/>
      <c r="L2" s="14" t="s">
        <v>5</v>
      </c>
      <c r="M2" s="14"/>
      <c r="N2" s="14" t="s">
        <v>146</v>
      </c>
      <c r="O2" s="14"/>
      <c r="P2" s="14" t="s">
        <v>393</v>
      </c>
      <c r="Q2" s="14" t="s">
        <v>454</v>
      </c>
      <c r="S2" t="s">
        <v>1089</v>
      </c>
    </row>
    <row r="3" spans="1:19" x14ac:dyDescent="0.25">
      <c r="A3" t="s">
        <v>1034</v>
      </c>
      <c r="B3" t="s">
        <v>1036</v>
      </c>
      <c r="C3" t="s">
        <v>1037</v>
      </c>
      <c r="D3" t="s">
        <v>1038</v>
      </c>
      <c r="E3" s="43">
        <v>12</v>
      </c>
      <c r="F3">
        <v>1</v>
      </c>
      <c r="J3" s="14" t="s">
        <v>379</v>
      </c>
      <c r="K3" s="14"/>
      <c r="L3" s="14" t="s">
        <v>27</v>
      </c>
      <c r="M3" s="14"/>
      <c r="N3" s="14" t="s">
        <v>166</v>
      </c>
      <c r="O3" s="14"/>
      <c r="P3" s="14" t="s">
        <v>394</v>
      </c>
      <c r="Q3" s="14" t="s">
        <v>455</v>
      </c>
      <c r="S3" t="s">
        <v>1090</v>
      </c>
    </row>
    <row r="4" spans="1:19" x14ac:dyDescent="0.25">
      <c r="A4" t="s">
        <v>421</v>
      </c>
      <c r="B4" t="s">
        <v>440</v>
      </c>
      <c r="C4" t="s">
        <v>425</v>
      </c>
      <c r="D4" t="s">
        <v>435</v>
      </c>
      <c r="E4" s="43">
        <v>12</v>
      </c>
      <c r="F4">
        <v>1</v>
      </c>
      <c r="J4" s="14" t="s">
        <v>507</v>
      </c>
      <c r="K4" s="14"/>
      <c r="L4" s="14" t="s">
        <v>481</v>
      </c>
      <c r="M4" s="14"/>
      <c r="N4" s="14" t="s">
        <v>230</v>
      </c>
      <c r="O4" s="14"/>
      <c r="P4" s="14" t="s">
        <v>395</v>
      </c>
      <c r="Q4" s="14" t="s">
        <v>453</v>
      </c>
    </row>
    <row r="5" spans="1:19" x14ac:dyDescent="0.25">
      <c r="A5" t="s">
        <v>416</v>
      </c>
      <c r="B5" t="s">
        <v>441</v>
      </c>
      <c r="C5" t="s">
        <v>430</v>
      </c>
      <c r="D5" t="s">
        <v>433</v>
      </c>
      <c r="E5" s="43">
        <v>12</v>
      </c>
      <c r="F5">
        <v>1</v>
      </c>
      <c r="J5" s="2"/>
      <c r="K5" s="2"/>
      <c r="L5" s="14" t="s">
        <v>361</v>
      </c>
      <c r="M5" s="14"/>
      <c r="N5" s="14" t="s">
        <v>288</v>
      </c>
      <c r="O5" s="14"/>
      <c r="P5" s="14" t="s">
        <v>396</v>
      </c>
      <c r="Q5" s="14"/>
    </row>
    <row r="6" spans="1:19" x14ac:dyDescent="0.25">
      <c r="A6" t="s">
        <v>537</v>
      </c>
      <c r="B6" t="s">
        <v>442</v>
      </c>
      <c r="C6" t="s">
        <v>434</v>
      </c>
      <c r="D6" t="s">
        <v>438</v>
      </c>
      <c r="E6" s="43">
        <v>12</v>
      </c>
      <c r="F6">
        <v>2</v>
      </c>
      <c r="J6" s="14"/>
      <c r="K6" s="14"/>
      <c r="L6" s="14" t="s">
        <v>144</v>
      </c>
      <c r="M6" s="14"/>
      <c r="N6" s="14" t="s">
        <v>297</v>
      </c>
      <c r="O6" s="14"/>
      <c r="P6" s="14" t="s">
        <v>397</v>
      </c>
      <c r="Q6" s="14"/>
    </row>
    <row r="7" spans="1:19" x14ac:dyDescent="0.25">
      <c r="A7" t="s">
        <v>400</v>
      </c>
      <c r="B7" t="s">
        <v>443</v>
      </c>
      <c r="C7" t="s">
        <v>426</v>
      </c>
      <c r="D7" t="s">
        <v>436</v>
      </c>
      <c r="E7" s="43">
        <v>12</v>
      </c>
      <c r="F7">
        <v>1</v>
      </c>
      <c r="J7" s="14"/>
      <c r="K7" s="14"/>
      <c r="L7" s="43" t="s">
        <v>819</v>
      </c>
      <c r="N7" s="14" t="s">
        <v>720</v>
      </c>
      <c r="O7" s="14"/>
      <c r="P7" s="14"/>
      <c r="Q7" s="14"/>
    </row>
    <row r="8" spans="1:19" x14ac:dyDescent="0.25">
      <c r="A8" t="s">
        <v>422</v>
      </c>
      <c r="B8" t="s">
        <v>444</v>
      </c>
      <c r="C8" t="s">
        <v>427</v>
      </c>
      <c r="D8" t="s">
        <v>437</v>
      </c>
      <c r="E8" s="43">
        <v>12</v>
      </c>
      <c r="F8">
        <v>1</v>
      </c>
      <c r="J8" s="14"/>
      <c r="K8" s="14"/>
      <c r="L8" s="14" t="s">
        <v>151</v>
      </c>
      <c r="M8" s="14"/>
      <c r="O8" s="14"/>
      <c r="P8" s="14"/>
      <c r="Q8" s="14"/>
    </row>
    <row r="9" spans="1:19" x14ac:dyDescent="0.25">
      <c r="A9" t="s">
        <v>423</v>
      </c>
      <c r="B9" t="s">
        <v>445</v>
      </c>
      <c r="C9" t="s">
        <v>428</v>
      </c>
      <c r="D9" t="s">
        <v>431</v>
      </c>
      <c r="E9" s="43">
        <v>12</v>
      </c>
      <c r="F9">
        <v>1</v>
      </c>
      <c r="J9" s="14"/>
      <c r="K9" s="14"/>
      <c r="L9" s="14" t="s">
        <v>173</v>
      </c>
      <c r="M9" s="14"/>
      <c r="N9" s="14"/>
      <c r="O9" s="14"/>
      <c r="P9" s="14"/>
      <c r="Q9" s="14"/>
    </row>
    <row r="10" spans="1:19" x14ac:dyDescent="0.25">
      <c r="A10" t="s">
        <v>526</v>
      </c>
      <c r="B10" s="31" t="s">
        <v>528</v>
      </c>
      <c r="C10" s="31" t="s">
        <v>530</v>
      </c>
      <c r="D10" s="31" t="s">
        <v>532</v>
      </c>
      <c r="E10" s="43">
        <v>12</v>
      </c>
      <c r="F10" s="31">
        <v>1</v>
      </c>
      <c r="J10" s="14"/>
      <c r="K10" s="14"/>
      <c r="L10" s="14" t="s">
        <v>180</v>
      </c>
      <c r="M10" s="14"/>
      <c r="N10" s="14"/>
      <c r="O10" s="14"/>
      <c r="P10" s="14"/>
      <c r="Q10" s="14"/>
    </row>
    <row r="11" spans="1:19" x14ac:dyDescent="0.25">
      <c r="A11" t="s">
        <v>527</v>
      </c>
      <c r="B11" s="31" t="s">
        <v>529</v>
      </c>
      <c r="C11" s="31" t="s">
        <v>531</v>
      </c>
      <c r="D11" s="31" t="s">
        <v>533</v>
      </c>
      <c r="E11" s="43">
        <v>12</v>
      </c>
      <c r="F11" s="31">
        <v>5</v>
      </c>
      <c r="J11" s="14"/>
      <c r="K11" s="14"/>
      <c r="L11" s="14" t="s">
        <v>185</v>
      </c>
      <c r="M11" s="14"/>
      <c r="N11" s="14"/>
      <c r="O11" s="14"/>
      <c r="P11" s="14"/>
      <c r="Q11" s="14"/>
    </row>
    <row r="12" spans="1:19" x14ac:dyDescent="0.25">
      <c r="A12" t="s">
        <v>854</v>
      </c>
      <c r="B12" s="43" t="s">
        <v>855</v>
      </c>
      <c r="C12" s="43" t="s">
        <v>856</v>
      </c>
      <c r="D12" s="43" t="s">
        <v>857</v>
      </c>
      <c r="E12" s="43">
        <v>12</v>
      </c>
      <c r="F12">
        <v>2</v>
      </c>
      <c r="J12" s="14"/>
      <c r="K12" s="14"/>
      <c r="L12" s="14" t="s">
        <v>377</v>
      </c>
      <c r="M12" s="14"/>
      <c r="N12" s="14"/>
      <c r="O12" s="14"/>
      <c r="P12" s="14"/>
      <c r="Q12" s="14"/>
    </row>
    <row r="13" spans="1:19" x14ac:dyDescent="0.25">
      <c r="A13" s="43" t="s">
        <v>858</v>
      </c>
      <c r="B13" s="43" t="s">
        <v>859</v>
      </c>
      <c r="C13" s="43" t="s">
        <v>860</v>
      </c>
      <c r="D13" s="43" t="s">
        <v>861</v>
      </c>
      <c r="E13" s="43">
        <v>12</v>
      </c>
      <c r="F13">
        <v>3</v>
      </c>
      <c r="J13" s="14"/>
      <c r="K13" s="14"/>
      <c r="L13" s="14" t="s">
        <v>237</v>
      </c>
      <c r="M13" s="14"/>
      <c r="N13" s="14"/>
      <c r="O13" s="14"/>
      <c r="P13" s="14"/>
      <c r="Q13" s="14"/>
    </row>
    <row r="14" spans="1:19" x14ac:dyDescent="0.25">
      <c r="A14" t="s">
        <v>862</v>
      </c>
      <c r="B14" s="43" t="s">
        <v>863</v>
      </c>
      <c r="C14" s="43" t="s">
        <v>864</v>
      </c>
      <c r="D14" s="43" t="s">
        <v>865</v>
      </c>
      <c r="E14" s="43">
        <v>12</v>
      </c>
      <c r="F14">
        <v>10</v>
      </c>
      <c r="J14" s="14"/>
      <c r="K14" s="14"/>
      <c r="L14" s="14" t="s">
        <v>299</v>
      </c>
      <c r="M14" s="14"/>
      <c r="N14" s="14"/>
      <c r="O14" s="14"/>
      <c r="P14" s="14"/>
      <c r="Q14" s="14"/>
    </row>
    <row r="15" spans="1:19" x14ac:dyDescent="0.25">
      <c r="A15" t="s">
        <v>955</v>
      </c>
      <c r="B15" t="s">
        <v>956</v>
      </c>
      <c r="C15" s="43" t="s">
        <v>957</v>
      </c>
      <c r="D15" s="43" t="s">
        <v>958</v>
      </c>
      <c r="E15" s="43">
        <v>24</v>
      </c>
      <c r="F15">
        <v>2</v>
      </c>
      <c r="J15" s="14"/>
      <c r="K15" s="14"/>
      <c r="L15" s="14" t="s">
        <v>301</v>
      </c>
      <c r="M15" s="14"/>
      <c r="N15" s="14"/>
      <c r="O15" s="14"/>
      <c r="P15" s="14"/>
      <c r="Q15" s="14"/>
    </row>
    <row r="16" spans="1:19" x14ac:dyDescent="0.25">
      <c r="A16" t="s">
        <v>1091</v>
      </c>
      <c r="B16" t="s">
        <v>1093</v>
      </c>
      <c r="C16" t="s">
        <v>1094</v>
      </c>
      <c r="D16" t="s">
        <v>1095</v>
      </c>
      <c r="E16">
        <v>12</v>
      </c>
      <c r="F16">
        <v>1</v>
      </c>
      <c r="J16" s="14"/>
      <c r="K16" s="14"/>
      <c r="L16" s="14" t="s">
        <v>748</v>
      </c>
      <c r="M16" s="14"/>
      <c r="N16" s="14"/>
      <c r="O16" s="14"/>
      <c r="P16" s="14"/>
      <c r="Q16" s="14"/>
    </row>
    <row r="17" spans="1:17" x14ac:dyDescent="0.25">
      <c r="J17" s="14"/>
      <c r="K17" s="14"/>
      <c r="L17" s="14" t="s">
        <v>309</v>
      </c>
      <c r="M17" s="14"/>
      <c r="N17" s="14"/>
      <c r="O17" s="14"/>
      <c r="P17" s="14"/>
      <c r="Q17" s="14"/>
    </row>
    <row r="18" spans="1:17" x14ac:dyDescent="0.25">
      <c r="J18" s="14"/>
      <c r="K18" s="14"/>
      <c r="L18" s="14" t="s">
        <v>1165</v>
      </c>
      <c r="M18" s="14"/>
      <c r="N18" s="14"/>
      <c r="O18" s="14"/>
      <c r="P18" s="14"/>
      <c r="Q18" s="14"/>
    </row>
    <row r="19" spans="1:17" x14ac:dyDescent="0.25">
      <c r="J19" s="14"/>
      <c r="K19" s="14"/>
      <c r="L19" s="14"/>
      <c r="M19" s="14"/>
      <c r="N19" s="14"/>
      <c r="O19" s="14"/>
      <c r="P19" s="14"/>
      <c r="Q19" s="14"/>
    </row>
    <row r="20" spans="1:17" x14ac:dyDescent="0.25">
      <c r="A20" s="2"/>
      <c r="J20" s="14"/>
      <c r="K20" s="14"/>
      <c r="L20" s="14"/>
      <c r="M20" s="14"/>
      <c r="N20" s="14"/>
      <c r="O20" s="14"/>
      <c r="P20" s="14"/>
      <c r="Q20" s="14"/>
    </row>
    <row r="21" spans="1:17" x14ac:dyDescent="0.25">
      <c r="L21" s="14"/>
    </row>
    <row r="22" spans="1:17" x14ac:dyDescent="0.25">
      <c r="L22" s="14"/>
    </row>
    <row r="23" spans="1:17" x14ac:dyDescent="0.25">
      <c r="A23" t="s">
        <v>985</v>
      </c>
      <c r="B23" s="18">
        <v>42856</v>
      </c>
      <c r="L23" s="14"/>
    </row>
    <row r="24" spans="1:17" x14ac:dyDescent="0.25">
      <c r="A24" t="s">
        <v>986</v>
      </c>
      <c r="B24" s="78">
        <v>41640</v>
      </c>
      <c r="C24" s="78"/>
      <c r="L24" s="14"/>
    </row>
    <row r="25" spans="1:17" x14ac:dyDescent="0.25">
      <c r="B25" s="78"/>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43" customWidth="1"/>
    <col min="2" max="2" width="23" style="43" customWidth="1"/>
    <col min="3" max="3" width="11.7109375" style="82" customWidth="1"/>
    <col min="5" max="5" width="15.28515625" bestFit="1" customWidth="1"/>
  </cols>
  <sheetData>
    <row r="1" spans="1:5" s="84" customFormat="1" x14ac:dyDescent="0.25">
      <c r="A1" s="83" t="s">
        <v>835</v>
      </c>
      <c r="B1" s="85" t="s">
        <v>1014</v>
      </c>
      <c r="C1" s="86" t="s">
        <v>1015</v>
      </c>
    </row>
    <row r="2" spans="1:5" x14ac:dyDescent="0.25">
      <c r="A2" s="44" t="s">
        <v>236</v>
      </c>
      <c r="B2" s="75" t="s">
        <v>612</v>
      </c>
      <c r="C2" s="79">
        <v>3.1341427522963001</v>
      </c>
      <c r="E2" s="267" t="s">
        <v>13</v>
      </c>
    </row>
    <row r="3" spans="1:5" x14ac:dyDescent="0.25">
      <c r="A3" s="44" t="s">
        <v>267</v>
      </c>
      <c r="B3" s="75" t="s">
        <v>612</v>
      </c>
      <c r="C3" s="79">
        <v>3.8820329084732199</v>
      </c>
      <c r="E3" s="268" t="s">
        <v>376</v>
      </c>
    </row>
    <row r="4" spans="1:5" x14ac:dyDescent="0.25">
      <c r="A4" s="44" t="s">
        <v>249</v>
      </c>
      <c r="B4" s="75" t="s">
        <v>612</v>
      </c>
      <c r="C4" s="79">
        <v>2.3045478259125423</v>
      </c>
      <c r="E4" s="267" t="s">
        <v>965</v>
      </c>
    </row>
    <row r="5" spans="1:5" x14ac:dyDescent="0.25">
      <c r="A5" s="44" t="s">
        <v>247</v>
      </c>
      <c r="B5" s="75" t="s">
        <v>612</v>
      </c>
      <c r="C5" s="79">
        <v>3.3637010801853577</v>
      </c>
      <c r="E5" s="268" t="s">
        <v>1063</v>
      </c>
    </row>
    <row r="6" spans="1:5" x14ac:dyDescent="0.25">
      <c r="A6" s="44" t="s">
        <v>273</v>
      </c>
      <c r="B6" s="75" t="s">
        <v>612</v>
      </c>
      <c r="C6" s="79">
        <v>2.0123527499589278</v>
      </c>
      <c r="E6" s="267" t="s">
        <v>1074</v>
      </c>
    </row>
    <row r="7" spans="1:5" x14ac:dyDescent="0.25">
      <c r="A7" s="44" t="s">
        <v>275</v>
      </c>
      <c r="B7" s="75" t="s">
        <v>612</v>
      </c>
      <c r="C7" s="79">
        <v>2.9133254097712102</v>
      </c>
      <c r="E7" s="270" t="s">
        <v>1075</v>
      </c>
    </row>
    <row r="8" spans="1:5" x14ac:dyDescent="0.25">
      <c r="A8" s="44" t="s">
        <v>277</v>
      </c>
      <c r="B8" s="75" t="s">
        <v>612</v>
      </c>
      <c r="C8" s="79">
        <v>4.9021696969220816</v>
      </c>
      <c r="E8" s="269" t="s">
        <v>1085</v>
      </c>
    </row>
    <row r="9" spans="1:5" x14ac:dyDescent="0.25">
      <c r="A9" s="76" t="s">
        <v>259</v>
      </c>
      <c r="B9" s="75" t="s">
        <v>612</v>
      </c>
      <c r="C9" s="79">
        <v>5.4145379230647226</v>
      </c>
      <c r="E9" s="270" t="s">
        <v>1087</v>
      </c>
    </row>
    <row r="10" spans="1:5" x14ac:dyDescent="0.25">
      <c r="A10" s="76" t="s">
        <v>279</v>
      </c>
      <c r="B10" s="75" t="s">
        <v>612</v>
      </c>
      <c r="C10" s="79">
        <v>6.6198004689728469</v>
      </c>
      <c r="E10" s="267" t="s">
        <v>1163</v>
      </c>
    </row>
    <row r="11" spans="1:5" x14ac:dyDescent="0.25">
      <c r="A11" s="44" t="s">
        <v>244</v>
      </c>
      <c r="B11" s="75" t="s">
        <v>612</v>
      </c>
      <c r="C11" s="79">
        <v>1.1985969617964649</v>
      </c>
      <c r="E11" s="270" t="s">
        <v>950</v>
      </c>
    </row>
    <row r="12" spans="1:5" x14ac:dyDescent="0.25">
      <c r="A12" s="44" t="s">
        <v>245</v>
      </c>
      <c r="B12" s="75" t="s">
        <v>612</v>
      </c>
      <c r="C12" s="79">
        <v>1.3510454549069482</v>
      </c>
      <c r="E12" s="267" t="s">
        <v>1062</v>
      </c>
    </row>
    <row r="13" spans="1:5" x14ac:dyDescent="0.25">
      <c r="A13" s="44" t="s">
        <v>242</v>
      </c>
      <c r="B13" s="75" t="s">
        <v>612</v>
      </c>
      <c r="C13" s="79">
        <v>1.5295244799681529</v>
      </c>
      <c r="E13" s="268" t="s">
        <v>1101</v>
      </c>
    </row>
    <row r="14" spans="1:5" x14ac:dyDescent="0.25">
      <c r="A14" s="44" t="s">
        <v>255</v>
      </c>
      <c r="B14" s="75" t="s">
        <v>612</v>
      </c>
      <c r="C14" s="79">
        <v>2.8164250706222882</v>
      </c>
      <c r="E14" s="269" t="s">
        <v>1149</v>
      </c>
    </row>
    <row r="15" spans="1:5" x14ac:dyDescent="0.25">
      <c r="A15" s="44" t="s">
        <v>283</v>
      </c>
      <c r="B15" s="75" t="s">
        <v>612</v>
      </c>
      <c r="C15" s="79">
        <v>4.262018365878137</v>
      </c>
      <c r="E15" s="270" t="s">
        <v>1150</v>
      </c>
    </row>
    <row r="16" spans="1:5" x14ac:dyDescent="0.25">
      <c r="A16" s="44" t="s">
        <v>239</v>
      </c>
      <c r="B16" s="75" t="s">
        <v>612</v>
      </c>
      <c r="C16" s="79">
        <v>3.3602711423118103</v>
      </c>
      <c r="E16" s="269" t="s">
        <v>1151</v>
      </c>
    </row>
    <row r="17" spans="1:5" x14ac:dyDescent="0.25">
      <c r="A17" s="44" t="s">
        <v>257</v>
      </c>
      <c r="B17" s="75" t="s">
        <v>636</v>
      </c>
      <c r="C17" s="79">
        <v>3.3362307375127798</v>
      </c>
      <c r="E17" s="270" t="s">
        <v>1152</v>
      </c>
    </row>
    <row r="18" spans="1:5" x14ac:dyDescent="0.25">
      <c r="A18" s="44" t="s">
        <v>265</v>
      </c>
      <c r="B18" s="75" t="s">
        <v>612</v>
      </c>
      <c r="C18" s="79">
        <v>1.3751794210741128</v>
      </c>
      <c r="E18" s="269" t="s">
        <v>1153</v>
      </c>
    </row>
    <row r="19" spans="1:5" x14ac:dyDescent="0.25">
      <c r="A19" s="44" t="s">
        <v>251</v>
      </c>
      <c r="B19" s="75" t="s">
        <v>612</v>
      </c>
      <c r="C19" s="79">
        <v>2.4647367211404561</v>
      </c>
      <c r="E19" s="270" t="s">
        <v>1154</v>
      </c>
    </row>
    <row r="20" spans="1:5" x14ac:dyDescent="0.25">
      <c r="A20" s="44" t="s">
        <v>253</v>
      </c>
      <c r="B20" s="75" t="s">
        <v>612</v>
      </c>
      <c r="C20" s="79">
        <v>1.8563710010113432</v>
      </c>
      <c r="E20" s="269" t="s">
        <v>1155</v>
      </c>
    </row>
    <row r="21" spans="1:5" x14ac:dyDescent="0.25">
      <c r="A21" s="44" t="s">
        <v>261</v>
      </c>
      <c r="B21" s="75" t="s">
        <v>612</v>
      </c>
      <c r="C21" s="79">
        <v>10.744749696609457</v>
      </c>
      <c r="E21" s="270" t="s">
        <v>1156</v>
      </c>
    </row>
    <row r="22" spans="1:5" x14ac:dyDescent="0.25">
      <c r="A22" s="44" t="s">
        <v>263</v>
      </c>
      <c r="B22" s="75" t="s">
        <v>612</v>
      </c>
      <c r="C22" s="79">
        <v>10.15228229456989</v>
      </c>
    </row>
    <row r="23" spans="1:5" x14ac:dyDescent="0.25">
      <c r="A23" s="44" t="s">
        <v>281</v>
      </c>
      <c r="B23" s="75" t="s">
        <v>612</v>
      </c>
      <c r="C23" s="79">
        <v>1.7877148351104664</v>
      </c>
    </row>
    <row r="24" spans="1:5" x14ac:dyDescent="0.25">
      <c r="A24" s="44" t="s">
        <v>241</v>
      </c>
      <c r="B24" s="75" t="s">
        <v>612</v>
      </c>
      <c r="C24" s="79">
        <v>2.6190942927115026</v>
      </c>
    </row>
    <row r="25" spans="1:5" x14ac:dyDescent="0.25">
      <c r="A25" s="44" t="s">
        <v>269</v>
      </c>
      <c r="B25" s="75" t="s">
        <v>612</v>
      </c>
      <c r="C25" s="79">
        <v>4.037940696665812</v>
      </c>
    </row>
    <row r="26" spans="1:5" x14ac:dyDescent="0.25">
      <c r="A26" s="44" t="s">
        <v>339</v>
      </c>
      <c r="B26" s="75" t="s">
        <v>636</v>
      </c>
      <c r="C26" s="79">
        <v>0.4474205416025816</v>
      </c>
    </row>
    <row r="27" spans="1:5" x14ac:dyDescent="0.25">
      <c r="A27" s="44" t="s">
        <v>348</v>
      </c>
      <c r="B27" s="75" t="s">
        <v>636</v>
      </c>
      <c r="C27" s="79">
        <v>1.0367202051285227</v>
      </c>
    </row>
    <row r="28" spans="1:5" x14ac:dyDescent="0.25">
      <c r="A28" s="80" t="s">
        <v>318</v>
      </c>
      <c r="B28" s="75" t="s">
        <v>636</v>
      </c>
      <c r="C28" s="79">
        <v>1.1134935940025397</v>
      </c>
    </row>
    <row r="29" spans="1:5" x14ac:dyDescent="0.25">
      <c r="A29" s="44" t="s">
        <v>311</v>
      </c>
      <c r="B29" s="75" t="s">
        <v>636</v>
      </c>
      <c r="C29" s="79">
        <v>5.0655036329811631</v>
      </c>
    </row>
    <row r="30" spans="1:5" x14ac:dyDescent="0.25">
      <c r="A30" s="76" t="s">
        <v>328</v>
      </c>
      <c r="B30" s="75" t="s">
        <v>612</v>
      </c>
      <c r="C30" s="79">
        <v>5.7019834469756479</v>
      </c>
    </row>
    <row r="31" spans="1:5" x14ac:dyDescent="0.25">
      <c r="A31" s="44" t="s">
        <v>336</v>
      </c>
      <c r="B31" s="75" t="s">
        <v>636</v>
      </c>
      <c r="C31" s="79">
        <v>0.77827912736780092</v>
      </c>
    </row>
    <row r="32" spans="1:5" x14ac:dyDescent="0.25">
      <c r="A32" s="44" t="s">
        <v>326</v>
      </c>
      <c r="B32" s="75" t="s">
        <v>612</v>
      </c>
      <c r="C32" s="79">
        <v>5.9727739497559158</v>
      </c>
    </row>
    <row r="33" spans="1:3" x14ac:dyDescent="0.25">
      <c r="A33" s="44" t="s">
        <v>316</v>
      </c>
      <c r="B33" s="75" t="s">
        <v>636</v>
      </c>
      <c r="C33" s="79">
        <v>0.37684287609457234</v>
      </c>
    </row>
    <row r="34" spans="1:3" x14ac:dyDescent="0.25">
      <c r="A34" s="44" t="s">
        <v>341</v>
      </c>
      <c r="B34" s="75" t="s">
        <v>612</v>
      </c>
      <c r="C34" s="79">
        <v>6.0275881703713861</v>
      </c>
    </row>
    <row r="35" spans="1:3" x14ac:dyDescent="0.25">
      <c r="A35" s="80" t="s">
        <v>308</v>
      </c>
      <c r="B35" s="75" t="s">
        <v>636</v>
      </c>
      <c r="C35" s="79">
        <v>0.70725493400809891</v>
      </c>
    </row>
    <row r="36" spans="1:3" x14ac:dyDescent="0.25">
      <c r="A36" s="44" t="s">
        <v>346</v>
      </c>
      <c r="B36" s="75" t="s">
        <v>636</v>
      </c>
      <c r="C36" s="79">
        <v>2.4174307716662291</v>
      </c>
    </row>
    <row r="37" spans="1:3" x14ac:dyDescent="0.25">
      <c r="A37" s="44" t="s">
        <v>314</v>
      </c>
      <c r="B37" s="75" t="s">
        <v>636</v>
      </c>
      <c r="C37" s="79">
        <v>0.15089472113650237</v>
      </c>
    </row>
    <row r="38" spans="1:3" x14ac:dyDescent="0.25">
      <c r="A38" s="44" t="s">
        <v>324</v>
      </c>
      <c r="B38" s="75" t="s">
        <v>612</v>
      </c>
      <c r="C38" s="79">
        <v>4.3887485673235673</v>
      </c>
    </row>
    <row r="39" spans="1:3" x14ac:dyDescent="0.25">
      <c r="A39" s="44" t="s">
        <v>322</v>
      </c>
      <c r="B39" s="75" t="s">
        <v>612</v>
      </c>
      <c r="C39" s="79">
        <v>5.2238983299151851</v>
      </c>
    </row>
    <row r="40" spans="1:3" x14ac:dyDescent="0.25">
      <c r="A40" s="44" t="s">
        <v>344</v>
      </c>
      <c r="B40" s="75" t="s">
        <v>1030</v>
      </c>
      <c r="C40" s="79">
        <v>9.3609732231189877</v>
      </c>
    </row>
    <row r="41" spans="1:3" x14ac:dyDescent="0.25">
      <c r="A41" s="44" t="s">
        <v>30</v>
      </c>
      <c r="B41" s="75" t="s">
        <v>732</v>
      </c>
      <c r="C41" s="79">
        <v>0.15809623370782155</v>
      </c>
    </row>
    <row r="42" spans="1:3" x14ac:dyDescent="0.25">
      <c r="A42" s="44" t="s">
        <v>29</v>
      </c>
      <c r="B42" s="75" t="s">
        <v>1017</v>
      </c>
      <c r="C42" s="79">
        <v>19.834999342466848</v>
      </c>
    </row>
    <row r="43" spans="1:3" x14ac:dyDescent="0.25">
      <c r="A43" s="44" t="s">
        <v>33</v>
      </c>
      <c r="B43" s="75" t="s">
        <v>1017</v>
      </c>
      <c r="C43" s="79">
        <v>12.486065224161463</v>
      </c>
    </row>
    <row r="44" spans="1:3" x14ac:dyDescent="0.25">
      <c r="A44" s="44" t="s">
        <v>21</v>
      </c>
      <c r="B44" s="75" t="s">
        <v>578</v>
      </c>
      <c r="C44" s="79">
        <v>1.5797992800898704</v>
      </c>
    </row>
    <row r="45" spans="1:3" x14ac:dyDescent="0.25">
      <c r="A45" s="44" t="s">
        <v>17</v>
      </c>
      <c r="B45" s="75" t="s">
        <v>578</v>
      </c>
      <c r="C45" s="79">
        <v>1.0876401420946245</v>
      </c>
    </row>
    <row r="46" spans="1:3" x14ac:dyDescent="0.25">
      <c r="A46" s="44" t="s">
        <v>4</v>
      </c>
      <c r="B46" s="75" t="s">
        <v>578</v>
      </c>
      <c r="C46" s="79">
        <v>0.78440046838596356</v>
      </c>
    </row>
    <row r="47" spans="1:3" x14ac:dyDescent="0.25">
      <c r="A47" s="44" t="s">
        <v>7</v>
      </c>
      <c r="B47" s="75" t="s">
        <v>578</v>
      </c>
      <c r="C47" s="79">
        <v>0.20824727902294948</v>
      </c>
    </row>
    <row r="48" spans="1:3" x14ac:dyDescent="0.25">
      <c r="A48" s="44" t="s">
        <v>13</v>
      </c>
      <c r="B48" s="75" t="s">
        <v>578</v>
      </c>
      <c r="C48" s="79">
        <v>0.84749304721635399</v>
      </c>
    </row>
    <row r="49" spans="1:3" x14ac:dyDescent="0.25">
      <c r="A49" s="44" t="s">
        <v>25</v>
      </c>
      <c r="B49" s="75" t="s">
        <v>578</v>
      </c>
      <c r="C49" s="79">
        <v>0.87147615879849294</v>
      </c>
    </row>
    <row r="50" spans="1:3" x14ac:dyDescent="0.25">
      <c r="A50" s="76" t="s">
        <v>19</v>
      </c>
      <c r="B50" s="75" t="s">
        <v>603</v>
      </c>
      <c r="C50" s="79">
        <v>8.3788619521763046</v>
      </c>
    </row>
    <row r="51" spans="1:3" x14ac:dyDescent="0.25">
      <c r="A51" s="44" t="s">
        <v>23</v>
      </c>
      <c r="B51" s="75" t="s">
        <v>578</v>
      </c>
      <c r="C51" s="79">
        <v>4.108228790802368</v>
      </c>
    </row>
    <row r="52" spans="1:3" x14ac:dyDescent="0.25">
      <c r="A52" s="44" t="s">
        <v>208</v>
      </c>
      <c r="B52" s="75" t="s">
        <v>603</v>
      </c>
      <c r="C52" s="79">
        <v>0.62513510418653162</v>
      </c>
    </row>
    <row r="53" spans="1:3" x14ac:dyDescent="0.25">
      <c r="A53" s="44" t="s">
        <v>206</v>
      </c>
      <c r="B53" s="75" t="s">
        <v>603</v>
      </c>
      <c r="C53" s="79">
        <v>0.49034468319599833</v>
      </c>
    </row>
    <row r="54" spans="1:3" x14ac:dyDescent="0.25">
      <c r="A54" s="44" t="s">
        <v>216</v>
      </c>
      <c r="B54" s="75" t="s">
        <v>603</v>
      </c>
      <c r="C54" s="79">
        <v>0.32830807173487342</v>
      </c>
    </row>
    <row r="55" spans="1:3" x14ac:dyDescent="0.25">
      <c r="A55" s="44" t="s">
        <v>226</v>
      </c>
      <c r="B55" s="75" t="s">
        <v>1027</v>
      </c>
      <c r="C55" s="79">
        <v>14.236592976936194</v>
      </c>
    </row>
    <row r="56" spans="1:3" x14ac:dyDescent="0.25">
      <c r="A56" s="44" t="s">
        <v>212</v>
      </c>
      <c r="B56" s="75" t="s">
        <v>603</v>
      </c>
      <c r="C56" s="79">
        <v>17.689123339899055</v>
      </c>
    </row>
    <row r="57" spans="1:3" x14ac:dyDescent="0.25">
      <c r="A57" s="44" t="s">
        <v>201</v>
      </c>
      <c r="B57" s="75" t="s">
        <v>603</v>
      </c>
      <c r="C57" s="79">
        <v>2.4411071835305544</v>
      </c>
    </row>
    <row r="58" spans="1:3" x14ac:dyDescent="0.25">
      <c r="A58" s="44" t="s">
        <v>203</v>
      </c>
      <c r="B58" s="75" t="s">
        <v>603</v>
      </c>
      <c r="C58" s="79">
        <v>17.282528446236295</v>
      </c>
    </row>
    <row r="59" spans="1:3" x14ac:dyDescent="0.25">
      <c r="A59" s="44" t="s">
        <v>199</v>
      </c>
      <c r="B59" s="75" t="s">
        <v>1027</v>
      </c>
      <c r="C59" s="79">
        <v>19.860265975801305</v>
      </c>
    </row>
    <row r="60" spans="1:3" x14ac:dyDescent="0.25">
      <c r="A60" s="80" t="s">
        <v>220</v>
      </c>
      <c r="B60" s="75" t="s">
        <v>1027</v>
      </c>
      <c r="C60" s="79">
        <v>3.6887624513681017</v>
      </c>
    </row>
    <row r="61" spans="1:3" x14ac:dyDescent="0.25">
      <c r="A61" s="44" t="s">
        <v>150</v>
      </c>
      <c r="B61" s="75" t="s">
        <v>591</v>
      </c>
      <c r="C61" s="79">
        <v>1.0576516850656514</v>
      </c>
    </row>
    <row r="62" spans="1:3" x14ac:dyDescent="0.25">
      <c r="A62" s="44" t="s">
        <v>304</v>
      </c>
      <c r="B62" s="75" t="s">
        <v>562</v>
      </c>
      <c r="C62" s="79">
        <v>0.74396039478864395</v>
      </c>
    </row>
    <row r="63" spans="1:3" x14ac:dyDescent="0.25">
      <c r="A63" s="44" t="s">
        <v>306</v>
      </c>
      <c r="B63" s="75" t="s">
        <v>562</v>
      </c>
      <c r="C63" s="79">
        <v>0.74330366237812662</v>
      </c>
    </row>
    <row r="64" spans="1:3" x14ac:dyDescent="0.25">
      <c r="A64" s="44" t="s">
        <v>222</v>
      </c>
      <c r="B64" s="75" t="s">
        <v>694</v>
      </c>
      <c r="C64" s="79">
        <v>0.77978735578277303</v>
      </c>
    </row>
    <row r="65" spans="1:3" x14ac:dyDescent="0.25">
      <c r="A65" s="44" t="s">
        <v>189</v>
      </c>
      <c r="B65" s="75" t="s">
        <v>694</v>
      </c>
      <c r="C65" s="79">
        <v>0.38934692601696641</v>
      </c>
    </row>
    <row r="66" spans="1:3" x14ac:dyDescent="0.25">
      <c r="A66" s="44" t="s">
        <v>184</v>
      </c>
      <c r="B66" s="75" t="s">
        <v>694</v>
      </c>
      <c r="C66" s="79">
        <v>0.28829825866869707</v>
      </c>
    </row>
    <row r="67" spans="1:3" x14ac:dyDescent="0.25">
      <c r="A67" s="44" t="s">
        <v>228</v>
      </c>
      <c r="B67" s="75" t="s">
        <v>694</v>
      </c>
      <c r="C67" s="79">
        <v>0.77561767807574999</v>
      </c>
    </row>
    <row r="68" spans="1:3" x14ac:dyDescent="0.25">
      <c r="A68" s="44" t="s">
        <v>224</v>
      </c>
      <c r="B68" s="75" t="s">
        <v>694</v>
      </c>
      <c r="C68" s="79">
        <v>1.343152344964242</v>
      </c>
    </row>
    <row r="69" spans="1:3" x14ac:dyDescent="0.25">
      <c r="A69" s="44" t="s">
        <v>143</v>
      </c>
      <c r="B69" s="75" t="s">
        <v>1021</v>
      </c>
      <c r="C69" s="79">
        <v>28.422357500443528</v>
      </c>
    </row>
    <row r="70" spans="1:3" x14ac:dyDescent="0.25">
      <c r="A70" s="80" t="s">
        <v>298</v>
      </c>
      <c r="B70" s="75" t="s">
        <v>741</v>
      </c>
      <c r="C70" s="79">
        <v>1.3759254000531889</v>
      </c>
    </row>
    <row r="71" spans="1:3" x14ac:dyDescent="0.25">
      <c r="A71" s="44" t="s">
        <v>175</v>
      </c>
      <c r="B71" s="75" t="s">
        <v>571</v>
      </c>
      <c r="C71" s="79">
        <v>0.71141459237180937</v>
      </c>
    </row>
    <row r="72" spans="1:3" x14ac:dyDescent="0.25">
      <c r="A72" s="44" t="s">
        <v>172</v>
      </c>
      <c r="B72" s="75" t="s">
        <v>571</v>
      </c>
      <c r="C72" s="79">
        <v>1.815139598767344</v>
      </c>
    </row>
    <row r="73" spans="1:3" x14ac:dyDescent="0.25">
      <c r="A73" s="44" t="s">
        <v>177</v>
      </c>
      <c r="B73" s="75" t="s">
        <v>571</v>
      </c>
      <c r="C73" s="79">
        <v>0.86042374061342075</v>
      </c>
    </row>
    <row r="74" spans="1:3" x14ac:dyDescent="0.25">
      <c r="A74" s="44" t="s">
        <v>179</v>
      </c>
      <c r="B74" s="75" t="s">
        <v>968</v>
      </c>
      <c r="C74" s="79">
        <v>1.7021273757523427</v>
      </c>
    </row>
    <row r="75" spans="1:3" x14ac:dyDescent="0.25">
      <c r="A75" s="44" t="s">
        <v>99</v>
      </c>
      <c r="B75" s="75" t="s">
        <v>1018</v>
      </c>
      <c r="C75" s="79">
        <v>0.79577754007276646</v>
      </c>
    </row>
    <row r="76" spans="1:3" x14ac:dyDescent="0.25">
      <c r="A76" s="44" t="s">
        <v>107</v>
      </c>
      <c r="B76" s="75" t="s">
        <v>1018</v>
      </c>
      <c r="C76" s="79">
        <v>2.9334852607184256</v>
      </c>
    </row>
    <row r="77" spans="1:3" x14ac:dyDescent="0.25">
      <c r="A77" s="44" t="s">
        <v>139</v>
      </c>
      <c r="B77" s="75" t="s">
        <v>1018</v>
      </c>
      <c r="C77" s="79">
        <v>1.5942018764815451</v>
      </c>
    </row>
    <row r="78" spans="1:3" x14ac:dyDescent="0.25">
      <c r="A78" s="44" t="s">
        <v>71</v>
      </c>
      <c r="B78" s="75" t="s">
        <v>1018</v>
      </c>
      <c r="C78" s="79">
        <v>4.4704963044882238</v>
      </c>
    </row>
    <row r="79" spans="1:3" x14ac:dyDescent="0.25">
      <c r="A79" s="44" t="s">
        <v>354</v>
      </c>
      <c r="B79" s="75" t="s">
        <v>1031</v>
      </c>
      <c r="C79" s="79">
        <v>32.827754639406997</v>
      </c>
    </row>
    <row r="80" spans="1:3" x14ac:dyDescent="0.25">
      <c r="A80" s="44" t="s">
        <v>332</v>
      </c>
      <c r="B80" s="75" t="s">
        <v>1031</v>
      </c>
      <c r="C80" s="79">
        <v>18.198335991626355</v>
      </c>
    </row>
    <row r="81" spans="1:3" x14ac:dyDescent="0.25">
      <c r="A81" s="44" t="s">
        <v>334</v>
      </c>
      <c r="B81" s="75" t="s">
        <v>1031</v>
      </c>
      <c r="C81" s="79">
        <v>21.287604662770121</v>
      </c>
    </row>
    <row r="82" spans="1:3" x14ac:dyDescent="0.25">
      <c r="A82" s="76" t="s">
        <v>350</v>
      </c>
      <c r="B82" s="75" t="s">
        <v>1026</v>
      </c>
      <c r="C82" s="79">
        <v>1.7420415164460403</v>
      </c>
    </row>
    <row r="83" spans="1:3" x14ac:dyDescent="0.25">
      <c r="A83" s="76" t="s">
        <v>313</v>
      </c>
      <c r="B83" s="75" t="s">
        <v>1026</v>
      </c>
      <c r="C83" s="79">
        <v>1.857513522619473</v>
      </c>
    </row>
    <row r="84" spans="1:3" x14ac:dyDescent="0.25">
      <c r="A84" s="44" t="s">
        <v>320</v>
      </c>
      <c r="B84" s="75" t="s">
        <v>1026</v>
      </c>
      <c r="C84" s="79">
        <v>28.888856599204185</v>
      </c>
    </row>
    <row r="85" spans="1:3" x14ac:dyDescent="0.25">
      <c r="A85" s="44" t="s">
        <v>343</v>
      </c>
      <c r="B85" s="75" t="s">
        <v>1026</v>
      </c>
      <c r="C85" s="79">
        <v>20.599512012485512</v>
      </c>
    </row>
    <row r="86" spans="1:3" x14ac:dyDescent="0.25">
      <c r="A86" s="44" t="s">
        <v>195</v>
      </c>
      <c r="B86" s="75" t="s">
        <v>1026</v>
      </c>
      <c r="C86" s="79">
        <v>7.985347533011188</v>
      </c>
    </row>
    <row r="87" spans="1:3" x14ac:dyDescent="0.25">
      <c r="A87" s="44" t="s">
        <v>193</v>
      </c>
      <c r="B87" s="75" t="s">
        <v>1026</v>
      </c>
      <c r="C87" s="79">
        <v>10.953347686331073</v>
      </c>
    </row>
    <row r="88" spans="1:3" x14ac:dyDescent="0.25">
      <c r="A88" s="44" t="s">
        <v>191</v>
      </c>
      <c r="B88" s="75" t="s">
        <v>1027</v>
      </c>
      <c r="C88" s="79">
        <v>18.65617244319267</v>
      </c>
    </row>
    <row r="89" spans="1:3" x14ac:dyDescent="0.25">
      <c r="A89" s="44" t="s">
        <v>218</v>
      </c>
      <c r="B89" s="75" t="s">
        <v>694</v>
      </c>
      <c r="C89" s="79">
        <v>8.953204937938569</v>
      </c>
    </row>
    <row r="90" spans="1:3" x14ac:dyDescent="0.25">
      <c r="A90" s="44" t="s">
        <v>197</v>
      </c>
      <c r="B90" s="75" t="s">
        <v>694</v>
      </c>
      <c r="C90" s="79">
        <v>18.620903555062636</v>
      </c>
    </row>
    <row r="91" spans="1:3" x14ac:dyDescent="0.25">
      <c r="A91" s="44" t="s">
        <v>187</v>
      </c>
      <c r="B91" s="75" t="s">
        <v>1022</v>
      </c>
      <c r="C91" s="79">
        <v>19.796407430638478</v>
      </c>
    </row>
    <row r="92" spans="1:3" x14ac:dyDescent="0.25">
      <c r="A92" s="44" t="s">
        <v>214</v>
      </c>
      <c r="B92" s="75" t="s">
        <v>694</v>
      </c>
      <c r="C92" s="79">
        <v>20.558236360788097</v>
      </c>
    </row>
    <row r="93" spans="1:3" x14ac:dyDescent="0.25">
      <c r="A93" s="44" t="s">
        <v>153</v>
      </c>
      <c r="B93" s="75" t="s">
        <v>1022</v>
      </c>
      <c r="C93" s="79">
        <v>10.509375400480517</v>
      </c>
    </row>
    <row r="94" spans="1:3" x14ac:dyDescent="0.25">
      <c r="A94" s="44" t="s">
        <v>159</v>
      </c>
      <c r="B94" s="75" t="s">
        <v>1022</v>
      </c>
      <c r="C94" s="79">
        <v>9.3704379947870464</v>
      </c>
    </row>
    <row r="95" spans="1:3" x14ac:dyDescent="0.25">
      <c r="A95" s="44" t="s">
        <v>155</v>
      </c>
      <c r="B95" s="75" t="s">
        <v>1022</v>
      </c>
      <c r="C95" s="79">
        <v>9.5650381623500511</v>
      </c>
    </row>
    <row r="96" spans="1:3" x14ac:dyDescent="0.25">
      <c r="A96" s="44" t="s">
        <v>157</v>
      </c>
      <c r="B96" s="75" t="s">
        <v>1022</v>
      </c>
      <c r="C96" s="79">
        <v>12.392289083396149</v>
      </c>
    </row>
    <row r="97" spans="1:3" x14ac:dyDescent="0.25">
      <c r="A97" s="44" t="s">
        <v>87</v>
      </c>
      <c r="B97" s="75" t="s">
        <v>1019</v>
      </c>
      <c r="C97" s="79">
        <v>1.1537462444167914</v>
      </c>
    </row>
    <row r="98" spans="1:3" x14ac:dyDescent="0.25">
      <c r="A98" s="76" t="s">
        <v>338</v>
      </c>
      <c r="B98" s="75" t="s">
        <v>1031</v>
      </c>
      <c r="C98" s="79">
        <v>34.344689881690819</v>
      </c>
    </row>
    <row r="99" spans="1:3" x14ac:dyDescent="0.25">
      <c r="A99" s="44" t="s">
        <v>285</v>
      </c>
      <c r="B99" s="75" t="s">
        <v>1025</v>
      </c>
      <c r="C99" s="79">
        <v>16.668825701583572</v>
      </c>
    </row>
    <row r="100" spans="1:3" x14ac:dyDescent="0.25">
      <c r="A100" s="44" t="s">
        <v>352</v>
      </c>
      <c r="B100" s="75" t="s">
        <v>1031</v>
      </c>
      <c r="C100" s="79">
        <v>17.035515422123492</v>
      </c>
    </row>
    <row r="101" spans="1:3" x14ac:dyDescent="0.25">
      <c r="A101" s="76" t="s">
        <v>271</v>
      </c>
      <c r="B101" s="75" t="s">
        <v>612</v>
      </c>
      <c r="C101" s="79">
        <v>12.627188913244609</v>
      </c>
    </row>
    <row r="102" spans="1:3" x14ac:dyDescent="0.25">
      <c r="A102" s="44" t="s">
        <v>11</v>
      </c>
      <c r="B102" s="75" t="s">
        <v>578</v>
      </c>
      <c r="C102" s="79">
        <v>1.1354007641426449</v>
      </c>
    </row>
    <row r="103" spans="1:3" x14ac:dyDescent="0.25">
      <c r="A103" s="44" t="s">
        <v>91</v>
      </c>
      <c r="B103" s="75" t="s">
        <v>1018</v>
      </c>
      <c r="C103" s="79">
        <v>0.75842119772531946</v>
      </c>
    </row>
    <row r="104" spans="1:3" x14ac:dyDescent="0.25">
      <c r="A104" s="44" t="s">
        <v>119</v>
      </c>
      <c r="B104" s="75" t="s">
        <v>1018</v>
      </c>
      <c r="C104" s="79">
        <v>6.3039408411778268</v>
      </c>
    </row>
    <row r="105" spans="1:3" x14ac:dyDescent="0.25">
      <c r="A105" s="44" t="s">
        <v>51</v>
      </c>
      <c r="B105" s="75" t="s">
        <v>1018</v>
      </c>
      <c r="C105" s="79">
        <v>5.184483270539272</v>
      </c>
    </row>
    <row r="106" spans="1:3" x14ac:dyDescent="0.25">
      <c r="A106" s="44" t="s">
        <v>75</v>
      </c>
      <c r="B106" s="75" t="s">
        <v>1018</v>
      </c>
      <c r="C106" s="79">
        <v>4.8862832644478198</v>
      </c>
    </row>
    <row r="107" spans="1:3" x14ac:dyDescent="0.25">
      <c r="A107" s="44" t="s">
        <v>40</v>
      </c>
      <c r="B107" s="75" t="s">
        <v>1018</v>
      </c>
      <c r="C107" s="79">
        <v>4.1842484710239098</v>
      </c>
    </row>
    <row r="108" spans="1:3" x14ac:dyDescent="0.25">
      <c r="A108" s="44" t="s">
        <v>61</v>
      </c>
      <c r="B108" s="75" t="s">
        <v>1018</v>
      </c>
      <c r="C108" s="79">
        <v>6.4753396248436657</v>
      </c>
    </row>
    <row r="109" spans="1:3" x14ac:dyDescent="0.25">
      <c r="A109" s="44" t="s">
        <v>89</v>
      </c>
      <c r="B109" s="75" t="s">
        <v>1018</v>
      </c>
      <c r="C109" s="79">
        <v>6.7094919928483892</v>
      </c>
    </row>
    <row r="110" spans="1:3" x14ac:dyDescent="0.25">
      <c r="A110" s="44" t="s">
        <v>117</v>
      </c>
      <c r="B110" s="75" t="s">
        <v>1018</v>
      </c>
      <c r="C110" s="79">
        <v>6.2085564346706201</v>
      </c>
    </row>
    <row r="111" spans="1:3" x14ac:dyDescent="0.25">
      <c r="A111" s="44" t="s">
        <v>123</v>
      </c>
      <c r="B111" s="75" t="s">
        <v>1018</v>
      </c>
      <c r="C111" s="79">
        <v>7.419312682373878</v>
      </c>
    </row>
    <row r="112" spans="1:3" x14ac:dyDescent="0.25">
      <c r="A112" s="44" t="s">
        <v>125</v>
      </c>
      <c r="B112" s="75" t="s">
        <v>1018</v>
      </c>
      <c r="C112" s="79">
        <v>4.6754712546149264</v>
      </c>
    </row>
    <row r="113" spans="1:3" x14ac:dyDescent="0.25">
      <c r="A113" s="44" t="s">
        <v>57</v>
      </c>
      <c r="B113" s="75" t="s">
        <v>1019</v>
      </c>
      <c r="C113" s="79">
        <v>23.222739740353646</v>
      </c>
    </row>
    <row r="114" spans="1:3" x14ac:dyDescent="0.25">
      <c r="A114" s="44" t="s">
        <v>42</v>
      </c>
      <c r="B114" s="75" t="s">
        <v>1018</v>
      </c>
      <c r="C114" s="79">
        <v>0.66733171900141897</v>
      </c>
    </row>
    <row r="115" spans="1:3" x14ac:dyDescent="0.25">
      <c r="A115" s="44" t="s">
        <v>45</v>
      </c>
      <c r="B115" s="75" t="s">
        <v>1018</v>
      </c>
      <c r="C115" s="79">
        <v>0.56771790814545575</v>
      </c>
    </row>
    <row r="116" spans="1:3" x14ac:dyDescent="0.25">
      <c r="A116" s="44" t="s">
        <v>46</v>
      </c>
      <c r="B116" s="75" t="s">
        <v>1018</v>
      </c>
      <c r="C116" s="79">
        <v>2.814225084976667</v>
      </c>
    </row>
    <row r="117" spans="1:3" x14ac:dyDescent="0.25">
      <c r="A117" s="44" t="s">
        <v>374</v>
      </c>
      <c r="B117" s="75" t="s">
        <v>578</v>
      </c>
      <c r="C117" s="79">
        <v>4.067486452659054</v>
      </c>
    </row>
    <row r="118" spans="1:3" x14ac:dyDescent="0.25">
      <c r="A118" s="44" t="s">
        <v>375</v>
      </c>
      <c r="B118" s="75" t="s">
        <v>578</v>
      </c>
      <c r="C118" s="79">
        <v>1.9489261822960435</v>
      </c>
    </row>
    <row r="119" spans="1:3" s="147" customFormat="1" x14ac:dyDescent="0.25">
      <c r="A119" s="44" t="s">
        <v>376</v>
      </c>
      <c r="B119" s="75" t="s">
        <v>732</v>
      </c>
      <c r="C119" s="79">
        <v>0</v>
      </c>
    </row>
    <row r="120" spans="1:3" x14ac:dyDescent="0.25">
      <c r="A120" s="44" t="s">
        <v>388</v>
      </c>
      <c r="B120" s="75" t="s">
        <v>591</v>
      </c>
      <c r="C120" s="79">
        <v>0.51447052329458698</v>
      </c>
    </row>
    <row r="121" spans="1:3" x14ac:dyDescent="0.25">
      <c r="A121" s="44" t="s">
        <v>389</v>
      </c>
      <c r="B121" s="75" t="s">
        <v>603</v>
      </c>
      <c r="C121" s="79">
        <v>0.60629049139006752</v>
      </c>
    </row>
    <row r="122" spans="1:3" x14ac:dyDescent="0.25">
      <c r="A122" s="44" t="s">
        <v>390</v>
      </c>
      <c r="B122" s="75" t="s">
        <v>1027</v>
      </c>
      <c r="C122" s="79">
        <v>24.701686141136339</v>
      </c>
    </row>
    <row r="123" spans="1:3" x14ac:dyDescent="0.25">
      <c r="A123" s="44" t="s">
        <v>391</v>
      </c>
      <c r="B123" s="75" t="s">
        <v>562</v>
      </c>
      <c r="C123" s="79">
        <v>2.3794331620169178</v>
      </c>
    </row>
    <row r="124" spans="1:3" x14ac:dyDescent="0.25">
      <c r="A124" s="44" t="s">
        <v>476</v>
      </c>
      <c r="B124" s="75" t="s">
        <v>603</v>
      </c>
      <c r="C124" s="79">
        <v>13.446032768350749</v>
      </c>
    </row>
    <row r="125" spans="1:3" x14ac:dyDescent="0.25">
      <c r="A125" s="80" t="s">
        <v>752</v>
      </c>
      <c r="B125" s="75" t="s">
        <v>750</v>
      </c>
      <c r="C125" s="79">
        <v>0.23004407510846425</v>
      </c>
    </row>
    <row r="126" spans="1:3" x14ac:dyDescent="0.25">
      <c r="A126" s="76" t="s">
        <v>754</v>
      </c>
      <c r="B126" s="75" t="s">
        <v>1026</v>
      </c>
      <c r="C126" s="79">
        <v>2.3307568207764655</v>
      </c>
    </row>
    <row r="127" spans="1:3" x14ac:dyDescent="0.25">
      <c r="A127" s="80" t="s">
        <v>791</v>
      </c>
      <c r="B127" s="75" t="s">
        <v>1017</v>
      </c>
      <c r="C127" s="79">
        <v>0.18710270881855062</v>
      </c>
    </row>
    <row r="128" spans="1:3" x14ac:dyDescent="0.25">
      <c r="A128" s="44" t="s">
        <v>814</v>
      </c>
      <c r="B128" s="75" t="s">
        <v>591</v>
      </c>
      <c r="C128" s="79">
        <v>17.731070777343263</v>
      </c>
    </row>
    <row r="129" spans="1:3" x14ac:dyDescent="0.25">
      <c r="A129" s="80" t="s">
        <v>818</v>
      </c>
      <c r="B129" s="75" t="s">
        <v>1032</v>
      </c>
      <c r="C129" s="79">
        <v>1.7005689699647599</v>
      </c>
    </row>
    <row r="130" spans="1:3" x14ac:dyDescent="0.25">
      <c r="A130" s="80" t="s">
        <v>822</v>
      </c>
      <c r="B130" s="75" t="s">
        <v>1032</v>
      </c>
      <c r="C130" s="79">
        <v>1.136583238544624</v>
      </c>
    </row>
    <row r="131" spans="1:3" x14ac:dyDescent="0.25">
      <c r="A131" s="44" t="s">
        <v>850</v>
      </c>
      <c r="B131" s="75" t="s">
        <v>1019</v>
      </c>
      <c r="C131" s="79">
        <v>12.257552920582597</v>
      </c>
    </row>
    <row r="132" spans="1:3" x14ac:dyDescent="0.25">
      <c r="A132" s="44" t="s">
        <v>880</v>
      </c>
      <c r="B132" s="75" t="s">
        <v>1016</v>
      </c>
      <c r="C132" s="79">
        <v>0</v>
      </c>
    </row>
    <row r="133" spans="1:3" x14ac:dyDescent="0.25">
      <c r="A133" s="36" t="s">
        <v>893</v>
      </c>
      <c r="B133" s="75" t="s">
        <v>1022</v>
      </c>
      <c r="C133" s="79">
        <v>19.631786732140053</v>
      </c>
    </row>
    <row r="134" spans="1:3" x14ac:dyDescent="0.25">
      <c r="A134" s="81" t="s">
        <v>897</v>
      </c>
      <c r="B134" s="75" t="s">
        <v>1032</v>
      </c>
      <c r="C134" s="79">
        <v>4.789460146835963</v>
      </c>
    </row>
    <row r="135" spans="1:3" x14ac:dyDescent="0.25">
      <c r="A135" s="44" t="s">
        <v>916</v>
      </c>
      <c r="B135" s="75" t="s">
        <v>1022</v>
      </c>
      <c r="C135" s="79">
        <v>10.527586947557506</v>
      </c>
    </row>
    <row r="136" spans="1:3" x14ac:dyDescent="0.25">
      <c r="A136" s="44" t="s">
        <v>920</v>
      </c>
      <c r="B136" s="75" t="s">
        <v>1018</v>
      </c>
      <c r="C136" s="79">
        <v>0.19374952337076978</v>
      </c>
    </row>
    <row r="137" spans="1:3" x14ac:dyDescent="0.25">
      <c r="A137" s="44" t="s">
        <v>947</v>
      </c>
      <c r="B137" s="75" t="s">
        <v>1022</v>
      </c>
      <c r="C137" s="79">
        <v>9.2957189123335944</v>
      </c>
    </row>
    <row r="138" spans="1:3" x14ac:dyDescent="0.25">
      <c r="A138" s="44" t="s">
        <v>287</v>
      </c>
      <c r="B138" s="75" t="s">
        <v>1022</v>
      </c>
      <c r="C138" s="79">
        <v>1.5619149693996526</v>
      </c>
    </row>
    <row r="139" spans="1:3" x14ac:dyDescent="0.25">
      <c r="A139" s="44" t="s">
        <v>294</v>
      </c>
      <c r="B139" s="75" t="s">
        <v>1022</v>
      </c>
      <c r="C139" s="79">
        <v>1.5239325151406049</v>
      </c>
    </row>
    <row r="140" spans="1:3" x14ac:dyDescent="0.25">
      <c r="A140" s="44" t="s">
        <v>290</v>
      </c>
      <c r="B140" s="75" t="s">
        <v>1022</v>
      </c>
      <c r="C140" s="79">
        <v>1.7369508287203668</v>
      </c>
    </row>
    <row r="141" spans="1:3" x14ac:dyDescent="0.25">
      <c r="A141" s="44" t="s">
        <v>234</v>
      </c>
      <c r="B141" s="75" t="s">
        <v>1029</v>
      </c>
      <c r="C141" s="79">
        <v>7.490291417449443</v>
      </c>
    </row>
    <row r="142" spans="1:3" x14ac:dyDescent="0.25">
      <c r="A142" s="44" t="s">
        <v>147</v>
      </c>
      <c r="B142" s="75" t="s">
        <v>1023</v>
      </c>
      <c r="C142" s="79">
        <v>23.172399462804503</v>
      </c>
    </row>
    <row r="143" spans="1:3" x14ac:dyDescent="0.25">
      <c r="A143" s="44" t="s">
        <v>148</v>
      </c>
      <c r="B143" s="75" t="s">
        <v>1022</v>
      </c>
      <c r="C143" s="79">
        <v>21.148671772283631</v>
      </c>
    </row>
    <row r="144" spans="1:3" x14ac:dyDescent="0.25">
      <c r="A144" s="44" t="s">
        <v>165</v>
      </c>
      <c r="B144" s="75" t="s">
        <v>1024</v>
      </c>
      <c r="C144" s="79">
        <v>0.43878855438285824</v>
      </c>
    </row>
    <row r="145" spans="1:3" x14ac:dyDescent="0.25">
      <c r="A145" s="44" t="s">
        <v>168</v>
      </c>
      <c r="B145" s="75" t="s">
        <v>1029</v>
      </c>
      <c r="C145" s="79">
        <v>18.405283544772924</v>
      </c>
    </row>
    <row r="146" spans="1:3" x14ac:dyDescent="0.25">
      <c r="A146" s="44" t="s">
        <v>170</v>
      </c>
      <c r="B146" s="75" t="s">
        <v>1029</v>
      </c>
      <c r="C146" s="79">
        <v>12.794700705104317</v>
      </c>
    </row>
    <row r="147" spans="1:3" x14ac:dyDescent="0.25">
      <c r="A147" s="44" t="s">
        <v>232</v>
      </c>
      <c r="B147" s="75" t="s">
        <v>1028</v>
      </c>
      <c r="C147" s="79">
        <v>1.789574394782699</v>
      </c>
    </row>
    <row r="148" spans="1:3" x14ac:dyDescent="0.25">
      <c r="A148" s="44" t="s">
        <v>296</v>
      </c>
      <c r="B148" s="75" t="s">
        <v>757</v>
      </c>
      <c r="C148" s="79">
        <v>0.37588352961435612</v>
      </c>
    </row>
    <row r="149" spans="1:3" x14ac:dyDescent="0.25">
      <c r="A149" s="44" t="s">
        <v>380</v>
      </c>
      <c r="B149" s="75" t="s">
        <v>670</v>
      </c>
      <c r="C149" s="79">
        <v>11.65743881259678</v>
      </c>
    </row>
    <row r="150" spans="1:3" x14ac:dyDescent="0.25">
      <c r="A150" s="44" t="s">
        <v>381</v>
      </c>
      <c r="B150" s="75" t="s">
        <v>670</v>
      </c>
      <c r="C150" s="79">
        <v>1.9281430163271129</v>
      </c>
    </row>
    <row r="151" spans="1:3" x14ac:dyDescent="0.25">
      <c r="A151" s="44" t="s">
        <v>382</v>
      </c>
      <c r="B151" s="75" t="s">
        <v>670</v>
      </c>
      <c r="C151" s="79">
        <v>0.42212558305526549</v>
      </c>
    </row>
    <row r="152" spans="1:3" x14ac:dyDescent="0.25">
      <c r="A152" s="44" t="s">
        <v>383</v>
      </c>
      <c r="B152" s="75" t="s">
        <v>670</v>
      </c>
      <c r="C152" s="79">
        <v>21.050742639251741</v>
      </c>
    </row>
    <row r="153" spans="1:3" x14ac:dyDescent="0.25">
      <c r="A153" s="44" t="s">
        <v>385</v>
      </c>
      <c r="B153" s="75" t="s">
        <v>670</v>
      </c>
      <c r="C153" s="79">
        <v>13.632081902964599</v>
      </c>
    </row>
    <row r="154" spans="1:3" x14ac:dyDescent="0.25">
      <c r="A154" s="44" t="s">
        <v>386</v>
      </c>
      <c r="B154" s="75" t="s">
        <v>1029</v>
      </c>
      <c r="C154" s="79">
        <v>5.5919136174199959</v>
      </c>
    </row>
    <row r="155" spans="1:3" x14ac:dyDescent="0.25">
      <c r="A155" s="44" t="s">
        <v>774</v>
      </c>
      <c r="B155" s="75" t="s">
        <v>1020</v>
      </c>
      <c r="C155" s="79">
        <v>30.037709702375544</v>
      </c>
    </row>
    <row r="156" spans="1:3" x14ac:dyDescent="0.25">
      <c r="A156" s="44" t="s">
        <v>763</v>
      </c>
      <c r="B156" s="75" t="s">
        <v>1024</v>
      </c>
      <c r="C156" s="79">
        <v>0.71762888500316424</v>
      </c>
    </row>
    <row r="157" spans="1:3" x14ac:dyDescent="0.25">
      <c r="A157" s="44" t="s">
        <v>764</v>
      </c>
      <c r="B157" s="75" t="s">
        <v>757</v>
      </c>
      <c r="C157" s="79">
        <v>0.63626694856259092</v>
      </c>
    </row>
    <row r="158" spans="1:3" x14ac:dyDescent="0.25">
      <c r="A158" s="36" t="s">
        <v>908</v>
      </c>
      <c r="B158" s="75" t="s">
        <v>903</v>
      </c>
      <c r="C158" s="79">
        <v>1.989668595899414</v>
      </c>
    </row>
    <row r="159" spans="1:3" x14ac:dyDescent="0.25">
      <c r="A159" s="36" t="s">
        <v>910</v>
      </c>
      <c r="B159" s="75" t="s">
        <v>1022</v>
      </c>
      <c r="C159" s="79">
        <v>2.0141034419413328</v>
      </c>
    </row>
    <row r="160" spans="1:3" x14ac:dyDescent="0.25">
      <c r="A160" s="36" t="s">
        <v>914</v>
      </c>
      <c r="B160" s="75" t="s">
        <v>1022</v>
      </c>
      <c r="C160" s="79">
        <v>2.8590638493982405</v>
      </c>
    </row>
    <row r="161" spans="1:3" x14ac:dyDescent="0.25">
      <c r="A161" s="36" t="s">
        <v>918</v>
      </c>
      <c r="B161" s="75" t="s">
        <v>903</v>
      </c>
      <c r="C161" s="79">
        <v>2.1362355825722199</v>
      </c>
    </row>
    <row r="162" spans="1:3" x14ac:dyDescent="0.25">
      <c r="A162" s="272"/>
      <c r="B162" s="75"/>
      <c r="C162" s="79"/>
    </row>
    <row r="163" spans="1:3" x14ac:dyDescent="0.25">
      <c r="A163" s="272"/>
      <c r="B163" s="75"/>
      <c r="C163" s="79"/>
    </row>
    <row r="164" spans="1:3" x14ac:dyDescent="0.25">
      <c r="A164" s="272"/>
      <c r="B164" s="75"/>
      <c r="C164" s="79"/>
    </row>
    <row r="165" spans="1:3" x14ac:dyDescent="0.25">
      <c r="A165" s="272"/>
      <c r="B165" s="75"/>
      <c r="C165" s="79"/>
    </row>
    <row r="166" spans="1:3" x14ac:dyDescent="0.25">
      <c r="A166" s="272"/>
      <c r="B166" s="75"/>
      <c r="C166" s="79"/>
    </row>
    <row r="167" spans="1:3" x14ac:dyDescent="0.25">
      <c r="A167" s="272"/>
      <c r="B167" s="75"/>
      <c r="C167" s="79"/>
    </row>
    <row r="168" spans="1:3" x14ac:dyDescent="0.25">
      <c r="A168" s="274" t="s">
        <v>965</v>
      </c>
      <c r="B168" s="75" t="s">
        <v>1018</v>
      </c>
      <c r="C168" s="79">
        <v>10</v>
      </c>
    </row>
    <row r="169" spans="1:3" x14ac:dyDescent="0.25">
      <c r="A169" s="274" t="s">
        <v>995</v>
      </c>
      <c r="B169" s="75" t="s">
        <v>1025</v>
      </c>
      <c r="C169" s="79">
        <v>0</v>
      </c>
    </row>
    <row r="170" spans="1:3" x14ac:dyDescent="0.25">
      <c r="A170" s="274" t="s">
        <v>996</v>
      </c>
      <c r="B170" s="75" t="s">
        <v>968</v>
      </c>
      <c r="C170" s="79">
        <v>0</v>
      </c>
    </row>
    <row r="171" spans="1:3" x14ac:dyDescent="0.25">
      <c r="A171" s="274" t="s">
        <v>1063</v>
      </c>
      <c r="B171" s="75" t="s">
        <v>741</v>
      </c>
      <c r="C171" s="79">
        <v>0</v>
      </c>
    </row>
    <row r="172" spans="1:3" x14ac:dyDescent="0.25">
      <c r="A172" s="274" t="s">
        <v>1073</v>
      </c>
      <c r="B172" s="75" t="s">
        <v>571</v>
      </c>
      <c r="C172" s="79">
        <v>5</v>
      </c>
    </row>
    <row r="173" spans="1:3" x14ac:dyDescent="0.25">
      <c r="A173" s="274" t="s">
        <v>1074</v>
      </c>
      <c r="B173" s="75" t="s">
        <v>571</v>
      </c>
      <c r="C173" s="79">
        <v>5</v>
      </c>
    </row>
    <row r="174" spans="1:3" x14ac:dyDescent="0.25">
      <c r="A174" s="275" t="s">
        <v>1075</v>
      </c>
      <c r="B174" s="75" t="s">
        <v>571</v>
      </c>
      <c r="C174" s="79">
        <v>0.75</v>
      </c>
    </row>
    <row r="175" spans="1:3" x14ac:dyDescent="0.25">
      <c r="A175" s="275" t="s">
        <v>1085</v>
      </c>
      <c r="B175" s="75" t="s">
        <v>750</v>
      </c>
      <c r="C175" s="79"/>
    </row>
    <row r="176" spans="1:3" x14ac:dyDescent="0.25">
      <c r="A176" s="275" t="s">
        <v>1087</v>
      </c>
      <c r="B176" s="75" t="s">
        <v>750</v>
      </c>
      <c r="C176" s="79"/>
    </row>
    <row r="177" spans="1:3" x14ac:dyDescent="0.25">
      <c r="A177" s="276" t="s">
        <v>1099</v>
      </c>
      <c r="B177" s="36" t="s">
        <v>1027</v>
      </c>
      <c r="C177" s="273">
        <v>0</v>
      </c>
    </row>
    <row r="178" spans="1:3" x14ac:dyDescent="0.25">
      <c r="A178" s="276" t="s">
        <v>1163</v>
      </c>
      <c r="B178" s="36" t="s">
        <v>1018</v>
      </c>
      <c r="C178" s="273"/>
    </row>
    <row r="179" spans="1:3" x14ac:dyDescent="0.25">
      <c r="A179" s="224" t="s">
        <v>1190</v>
      </c>
      <c r="B179" s="75" t="s">
        <v>1018</v>
      </c>
      <c r="C179" s="79"/>
    </row>
    <row r="180" spans="1:3" x14ac:dyDescent="0.25">
      <c r="A180" s="224" t="s">
        <v>1191</v>
      </c>
      <c r="B180" s="75" t="s">
        <v>1018</v>
      </c>
      <c r="C180" s="79"/>
    </row>
    <row r="181" spans="1:3" x14ac:dyDescent="0.25">
      <c r="A181" s="224" t="s">
        <v>1192</v>
      </c>
      <c r="B181" s="75" t="s">
        <v>1018</v>
      </c>
      <c r="C181" s="79"/>
    </row>
    <row r="182" spans="1:3" x14ac:dyDescent="0.25">
      <c r="A182" s="224" t="s">
        <v>1193</v>
      </c>
      <c r="B182" s="75" t="s">
        <v>1018</v>
      </c>
      <c r="C182" s="79"/>
    </row>
    <row r="183" spans="1:3" x14ac:dyDescent="0.25">
      <c r="A183" s="224" t="s">
        <v>1194</v>
      </c>
      <c r="B183" s="75" t="s">
        <v>1018</v>
      </c>
      <c r="C183" s="273"/>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BH268"/>
  <sheetViews>
    <sheetView showGridLines="0" showZeros="0" tabSelected="1" zoomScale="70" zoomScaleNormal="70" workbookViewId="0">
      <pane ySplit="2" topLeftCell="A3" activePane="bottomLeft" state="frozen"/>
      <selection activeCell="AS915" sqref="AS915"/>
      <selection pane="bottomLeft" activeCell="AC12" sqref="AC12"/>
    </sheetView>
  </sheetViews>
  <sheetFormatPr defaultColWidth="9.140625" defaultRowHeight="15" x14ac:dyDescent="0.25"/>
  <cols>
    <col min="1" max="1" width="1.85546875" style="150" customWidth="1"/>
    <col min="2" max="2" width="20.28515625" style="4" customWidth="1"/>
    <col min="3" max="3" width="10" style="4" customWidth="1"/>
    <col min="4" max="4" width="14.28515625" style="4" customWidth="1"/>
    <col min="5" max="5" width="13.85546875" style="4" customWidth="1"/>
    <col min="6" max="6" width="12.28515625" style="4" customWidth="1"/>
    <col min="7" max="7" width="7" style="4" customWidth="1"/>
    <col min="8" max="8" width="16.42578125" style="4" customWidth="1"/>
    <col min="9" max="9" width="11.28515625" style="4" customWidth="1"/>
    <col min="10" max="10" width="7.28515625" style="4" customWidth="1"/>
    <col min="11" max="11" width="11.28515625" style="4" customWidth="1"/>
    <col min="12" max="12" width="8.7109375" style="4" customWidth="1"/>
    <col min="13" max="13" width="11.28515625" style="4" customWidth="1"/>
    <col min="14" max="14" width="12.28515625" style="4" customWidth="1"/>
    <col min="15" max="15" width="9.140625" style="4"/>
    <col min="16" max="16" width="0" style="4" hidden="1" customWidth="1"/>
    <col min="17" max="17" width="19.42578125" style="4" hidden="1" customWidth="1"/>
    <col min="18" max="18" width="20.5703125" style="4" hidden="1" customWidth="1"/>
    <col min="19" max="19" width="0" style="4" hidden="1" customWidth="1"/>
    <col min="20" max="20" width="9.140625" style="4"/>
    <col min="21" max="21" width="15.7109375" style="4" customWidth="1"/>
    <col min="22" max="22" width="16.140625" style="4" customWidth="1"/>
    <col min="23" max="23" width="9.140625" style="4"/>
    <col min="24" max="24" width="15.5703125" style="4" customWidth="1"/>
    <col min="25" max="25" width="10.7109375" style="4" customWidth="1"/>
    <col min="26" max="26" width="17.28515625" style="4" customWidth="1"/>
    <col min="27" max="27" width="10.140625" style="4" customWidth="1"/>
    <col min="28" max="28" width="9.140625" style="4"/>
    <col min="29" max="29" width="7.42578125" style="4" customWidth="1"/>
    <col min="30" max="30" width="7" style="4" customWidth="1"/>
    <col min="31" max="31" width="6.5703125" style="4" customWidth="1"/>
    <col min="32" max="32" width="9.85546875" style="4" bestFit="1" customWidth="1"/>
    <col min="33" max="33" width="7.140625" style="4" customWidth="1"/>
    <col min="34" max="34" width="8.140625" style="4" customWidth="1"/>
    <col min="35" max="35" width="6" style="4" customWidth="1"/>
    <col min="36" max="36" width="8" style="4" customWidth="1"/>
    <col min="37" max="37" width="9.42578125" style="4" bestFit="1" customWidth="1"/>
    <col min="38" max="38" width="9" style="4" customWidth="1"/>
    <col min="39" max="39" width="10.85546875" style="4" bestFit="1" customWidth="1"/>
    <col min="40" max="40" width="9.85546875" style="4" bestFit="1" customWidth="1"/>
    <col min="41" max="41" width="13.85546875" style="4" bestFit="1" customWidth="1"/>
    <col min="42" max="43" width="7.28515625" style="4" customWidth="1"/>
    <col min="44" max="44" width="11.5703125" style="4" bestFit="1" customWidth="1"/>
    <col min="45" max="16384" width="9.140625" style="4"/>
  </cols>
  <sheetData>
    <row r="1" spans="1:60" s="150" customFormat="1" ht="11.45" customHeight="1" x14ac:dyDescent="0.25"/>
    <row r="2" spans="1:60" s="1" customFormat="1" ht="63.75" customHeight="1" x14ac:dyDescent="0.25">
      <c r="A2" s="148"/>
      <c r="B2" s="106" t="s">
        <v>1564</v>
      </c>
      <c r="C2" s="107"/>
      <c r="D2" s="107"/>
      <c r="E2" s="107"/>
      <c r="F2" s="107"/>
      <c r="G2" s="107"/>
      <c r="H2" s="107"/>
      <c r="I2" s="107"/>
      <c r="J2" s="107"/>
      <c r="K2" s="107"/>
      <c r="L2" s="107"/>
      <c r="M2" s="107"/>
      <c r="N2" s="107"/>
      <c r="O2" s="157"/>
      <c r="P2" s="658"/>
      <c r="Q2" s="658"/>
      <c r="R2" s="658"/>
      <c r="S2" s="658"/>
      <c r="T2" s="107"/>
      <c r="U2" s="107"/>
      <c r="V2" s="107"/>
      <c r="W2" s="107"/>
      <c r="X2" s="107"/>
      <c r="Y2" s="107"/>
      <c r="Z2" s="664"/>
      <c r="BG2" s="16"/>
      <c r="BH2" s="16"/>
    </row>
    <row r="3" spans="1:60" s="5" customFormat="1" ht="18" customHeight="1" x14ac:dyDescent="0.25">
      <c r="A3" s="154"/>
      <c r="B3" s="624" t="s">
        <v>1752</v>
      </c>
      <c r="C3" s="108"/>
      <c r="D3" s="108"/>
      <c r="E3" s="108"/>
      <c r="F3" s="108"/>
      <c r="G3" s="108"/>
      <c r="H3" s="108"/>
      <c r="I3" s="108"/>
      <c r="J3" s="108"/>
      <c r="K3" s="108"/>
      <c r="L3" s="108"/>
      <c r="M3" s="108"/>
      <c r="N3" s="108"/>
      <c r="O3" s="117"/>
      <c r="P3" s="665"/>
      <c r="Q3" s="665"/>
      <c r="R3" s="665"/>
      <c r="S3" s="665"/>
      <c r="T3" s="666"/>
      <c r="U3" s="666"/>
      <c r="V3" s="666"/>
      <c r="W3" s="666"/>
      <c r="X3" s="666"/>
      <c r="Y3" s="666"/>
      <c r="Z3" s="667"/>
      <c r="BG3" s="17"/>
      <c r="BH3" s="17"/>
    </row>
    <row r="4" spans="1:60" s="5" customFormat="1" ht="36" customHeight="1" x14ac:dyDescent="0.35">
      <c r="A4" s="154"/>
      <c r="B4" s="727" t="s">
        <v>1624</v>
      </c>
      <c r="C4"/>
      <c r="D4" s="87"/>
      <c r="E4" s="87"/>
      <c r="F4" s="87"/>
      <c r="G4" s="87"/>
      <c r="H4" s="88"/>
      <c r="I4" s="88"/>
      <c r="J4" s="88"/>
      <c r="K4" s="88"/>
      <c r="L4" s="10"/>
      <c r="M4" s="841" t="s">
        <v>1623</v>
      </c>
      <c r="N4" s="841"/>
      <c r="O4" s="842" t="s">
        <v>1651</v>
      </c>
      <c r="P4" s="842"/>
      <c r="Q4" s="842"/>
      <c r="R4" s="842"/>
      <c r="S4" s="842"/>
      <c r="T4" s="842"/>
      <c r="U4" s="775" t="s">
        <v>1650</v>
      </c>
      <c r="V4" s="113"/>
      <c r="W4" s="90"/>
      <c r="X4" s="839" t="str">
        <f>IF(O4="All","Kachin &amp; Northern Shan",IF(O4="Kachin","Kachin",IF(O4="Shan_North","Northern Shan","")))</f>
        <v>Kachin &amp; Northern Shan</v>
      </c>
      <c r="Y4" s="839"/>
      <c r="Z4" s="839"/>
      <c r="BG4" s="17"/>
      <c r="BH4" s="17"/>
    </row>
    <row r="5" spans="1:60" s="5" customFormat="1" ht="16.5" customHeight="1" x14ac:dyDescent="0.25">
      <c r="A5" s="154"/>
      <c r="B5" s="155" t="s">
        <v>392</v>
      </c>
      <c r="C5" s="405" t="s">
        <v>538</v>
      </c>
      <c r="D5" s="190" t="s">
        <v>413</v>
      </c>
      <c r="E5" s="89"/>
      <c r="F5" s="89"/>
      <c r="G5" s="89"/>
      <c r="H5" s="89"/>
      <c r="I5" s="89"/>
      <c r="J5" s="89"/>
      <c r="K5" s="89"/>
      <c r="L5" s="89"/>
      <c r="M5" s="837" t="s">
        <v>1605</v>
      </c>
      <c r="N5" s="837"/>
      <c r="O5" s="837"/>
      <c r="P5" s="837"/>
      <c r="Q5" s="837"/>
      <c r="R5" s="837"/>
      <c r="S5" s="837"/>
      <c r="T5" s="837"/>
      <c r="U5" s="837"/>
      <c r="V5" s="676"/>
      <c r="W5" s="676"/>
      <c r="X5" s="676"/>
      <c r="Y5" s="676"/>
      <c r="Z5" s="835">
        <f ca="1">IF(O4="All",SUMIF(CampList[[#All],[Status]:[Total]],"Open",CampList[[#All],[Total]]),SUMIFS(CampList[[#All],[Total]],CampList[[#All],[Status]],"Open",CampList[[#All],[State]],O4))</f>
        <v>98675</v>
      </c>
      <c r="AA5" s="680"/>
      <c r="BG5" s="17"/>
      <c r="BH5" s="17"/>
    </row>
    <row r="6" spans="1:60" ht="18" customHeight="1" x14ac:dyDescent="0.25">
      <c r="B6" s="155" t="s">
        <v>1054</v>
      </c>
      <c r="C6" s="405" t="s">
        <v>1013</v>
      </c>
      <c r="D6" s="150"/>
      <c r="M6" s="838"/>
      <c r="N6" s="838"/>
      <c r="O6" s="838"/>
      <c r="P6" s="838"/>
      <c r="Q6" s="838"/>
      <c r="R6" s="838"/>
      <c r="S6" s="838"/>
      <c r="T6" s="838"/>
      <c r="U6" s="838"/>
      <c r="V6" s="677"/>
      <c r="W6" s="677"/>
      <c r="X6" s="677"/>
      <c r="Y6" s="677"/>
      <c r="Z6" s="836"/>
      <c r="AA6" s="681"/>
    </row>
    <row r="7" spans="1:60" ht="14.45" customHeight="1" x14ac:dyDescent="0.25">
      <c r="B7" s="155" t="s">
        <v>458</v>
      </c>
      <c r="C7" s="405" t="s">
        <v>460</v>
      </c>
      <c r="M7" s="837" t="s">
        <v>1606</v>
      </c>
      <c r="N7" s="837"/>
      <c r="O7" s="837"/>
      <c r="P7" s="837"/>
      <c r="Q7" s="837"/>
      <c r="R7" s="837"/>
      <c r="S7" s="837"/>
      <c r="T7" s="837"/>
      <c r="U7" s="837"/>
      <c r="V7" s="153"/>
      <c r="W7" s="153"/>
      <c r="X7" s="153"/>
      <c r="Y7" s="153"/>
      <c r="Z7" s="834">
        <f>IF(O4="All",COUNTIF(CampList[[#All],[Status]],"Open"),COUNTIFS(CampList[[#All],[Status]],"Open",CampList[[#All],[State]],O4))</f>
        <v>165</v>
      </c>
    </row>
    <row r="8" spans="1:60" x14ac:dyDescent="0.25">
      <c r="M8" s="837"/>
      <c r="N8" s="837"/>
      <c r="O8" s="837"/>
      <c r="P8" s="837"/>
      <c r="Q8" s="153" t="s">
        <v>392</v>
      </c>
      <c r="R8" s="150" t="s">
        <v>538</v>
      </c>
      <c r="S8" s="837"/>
      <c r="T8" s="837"/>
      <c r="U8" s="837"/>
      <c r="V8" s="153"/>
      <c r="W8" s="153"/>
      <c r="X8" s="153"/>
      <c r="Y8" s="153"/>
      <c r="Z8" s="834"/>
    </row>
    <row r="9" spans="1:60" ht="31.5" x14ac:dyDescent="0.25">
      <c r="B9" s="155" t="s">
        <v>0</v>
      </c>
      <c r="C9" s="728" t="s">
        <v>1625</v>
      </c>
      <c r="D9" s="728" t="s">
        <v>1646</v>
      </c>
      <c r="M9" s="843"/>
      <c r="N9" s="843"/>
      <c r="O9" s="843"/>
      <c r="P9" s="843"/>
      <c r="Q9" s="150" t="s">
        <v>458</v>
      </c>
      <c r="R9" s="150" t="s">
        <v>460</v>
      </c>
      <c r="S9" s="843" t="s">
        <v>413</v>
      </c>
      <c r="T9" s="843"/>
      <c r="U9" s="843"/>
      <c r="V9" s="112"/>
      <c r="W9" s="112"/>
    </row>
    <row r="10" spans="1:60" x14ac:dyDescent="0.25">
      <c r="B10" s="6" t="s">
        <v>5</v>
      </c>
      <c r="C10" s="149">
        <v>1484</v>
      </c>
      <c r="D10" s="149">
        <v>8306</v>
      </c>
      <c r="T10" s="112"/>
      <c r="U10" s="112"/>
      <c r="V10" s="112"/>
      <c r="W10" s="112"/>
      <c r="X10" s="43"/>
      <c r="Y10" s="43"/>
    </row>
    <row r="11" spans="1:60" x14ac:dyDescent="0.25">
      <c r="B11" s="6" t="s">
        <v>27</v>
      </c>
      <c r="C11" s="149">
        <v>497</v>
      </c>
      <c r="D11" s="149">
        <v>2569</v>
      </c>
      <c r="Q11" s="150" t="s">
        <v>410</v>
      </c>
      <c r="R11" s="150" t="s">
        <v>412</v>
      </c>
      <c r="S11" s="43"/>
      <c r="T11" s="112"/>
      <c r="U11" s="112"/>
      <c r="V11" s="112"/>
      <c r="W11" s="112"/>
      <c r="X11" s="43"/>
      <c r="Y11" s="43"/>
    </row>
    <row r="12" spans="1:60" x14ac:dyDescent="0.25">
      <c r="B12" s="6" t="s">
        <v>481</v>
      </c>
      <c r="C12" s="149">
        <v>716</v>
      </c>
      <c r="D12" s="149">
        <v>3590</v>
      </c>
      <c r="Q12" s="151" t="s">
        <v>5</v>
      </c>
      <c r="R12" s="152">
        <v>8306</v>
      </c>
      <c r="S12" s="43"/>
      <c r="T12" s="112"/>
      <c r="U12" s="112"/>
      <c r="V12" s="112"/>
      <c r="W12" s="112"/>
      <c r="X12" s="43"/>
      <c r="Y12" s="43"/>
    </row>
    <row r="13" spans="1:60" x14ac:dyDescent="0.25">
      <c r="B13" s="6" t="s">
        <v>720</v>
      </c>
      <c r="C13" s="149">
        <v>100</v>
      </c>
      <c r="D13" s="149">
        <v>566</v>
      </c>
      <c r="Q13" s="151" t="s">
        <v>27</v>
      </c>
      <c r="R13" s="152">
        <v>2569</v>
      </c>
      <c r="S13" s="43"/>
      <c r="T13" s="112"/>
      <c r="U13" s="112"/>
      <c r="V13" s="112"/>
      <c r="W13" s="112"/>
      <c r="X13" s="43"/>
      <c r="Y13" s="43"/>
    </row>
    <row r="14" spans="1:60" x14ac:dyDescent="0.25">
      <c r="B14" s="6" t="s">
        <v>1230</v>
      </c>
      <c r="C14" s="149">
        <v>37</v>
      </c>
      <c r="D14" s="149">
        <v>120</v>
      </c>
      <c r="Q14" s="151" t="s">
        <v>481</v>
      </c>
      <c r="R14" s="152">
        <v>3590</v>
      </c>
      <c r="S14" s="43"/>
      <c r="X14" s="43"/>
      <c r="Y14" s="43"/>
    </row>
    <row r="15" spans="1:60" x14ac:dyDescent="0.25">
      <c r="B15" s="6" t="s">
        <v>146</v>
      </c>
      <c r="C15" s="149">
        <v>875</v>
      </c>
      <c r="D15" s="149">
        <v>4317</v>
      </c>
      <c r="Q15" s="151" t="s">
        <v>720</v>
      </c>
      <c r="R15" s="152">
        <v>566</v>
      </c>
      <c r="S15" s="43"/>
      <c r="X15" s="43"/>
      <c r="Y15" s="43"/>
    </row>
    <row r="16" spans="1:60" x14ac:dyDescent="0.25">
      <c r="B16" s="6" t="s">
        <v>151</v>
      </c>
      <c r="C16" s="149">
        <v>2755</v>
      </c>
      <c r="D16" s="149">
        <v>12961</v>
      </c>
      <c r="Q16" s="151" t="s">
        <v>1230</v>
      </c>
      <c r="R16" s="152">
        <v>120</v>
      </c>
      <c r="S16" s="43"/>
      <c r="X16" s="43"/>
      <c r="Y16" s="43"/>
    </row>
    <row r="17" spans="2:25" x14ac:dyDescent="0.25">
      <c r="B17" s="6" t="s">
        <v>166</v>
      </c>
      <c r="C17" s="149">
        <v>98</v>
      </c>
      <c r="D17" s="149">
        <v>534</v>
      </c>
      <c r="Q17" s="151" t="s">
        <v>146</v>
      </c>
      <c r="R17" s="152">
        <v>4317</v>
      </c>
      <c r="S17" s="43"/>
      <c r="X17" s="43"/>
      <c r="Y17" s="43"/>
    </row>
    <row r="18" spans="2:25" x14ac:dyDescent="0.25">
      <c r="B18" s="6" t="s">
        <v>173</v>
      </c>
      <c r="C18" s="149">
        <v>75</v>
      </c>
      <c r="D18" s="149">
        <v>349</v>
      </c>
      <c r="Q18" s="151" t="s">
        <v>151</v>
      </c>
      <c r="R18" s="152">
        <v>12961</v>
      </c>
      <c r="S18" s="43"/>
      <c r="X18" s="43"/>
      <c r="Y18" s="43"/>
    </row>
    <row r="19" spans="2:25" x14ac:dyDescent="0.25">
      <c r="B19" s="6" t="s">
        <v>180</v>
      </c>
      <c r="C19" s="149">
        <v>76</v>
      </c>
      <c r="D19" s="149">
        <v>350</v>
      </c>
      <c r="Q19" s="151" t="s">
        <v>166</v>
      </c>
      <c r="R19" s="152">
        <v>534</v>
      </c>
      <c r="S19" s="43"/>
      <c r="X19" s="43"/>
      <c r="Y19" s="43"/>
    </row>
    <row r="20" spans="2:25" x14ac:dyDescent="0.25">
      <c r="B20" s="6" t="s">
        <v>185</v>
      </c>
      <c r="C20" s="149">
        <v>4725</v>
      </c>
      <c r="D20" s="149">
        <v>24769</v>
      </c>
      <c r="Q20" s="151" t="s">
        <v>173</v>
      </c>
      <c r="R20" s="152">
        <v>349</v>
      </c>
      <c r="S20" s="43"/>
      <c r="X20" s="43"/>
      <c r="Y20" s="43"/>
    </row>
    <row r="21" spans="2:25" x14ac:dyDescent="0.25">
      <c r="B21" s="6" t="s">
        <v>230</v>
      </c>
      <c r="C21" s="149">
        <v>252</v>
      </c>
      <c r="D21" s="149">
        <v>1261</v>
      </c>
      <c r="Q21" s="151" t="s">
        <v>180</v>
      </c>
      <c r="R21" s="152">
        <v>350</v>
      </c>
      <c r="S21" s="43"/>
      <c r="X21" s="43"/>
      <c r="Y21" s="43"/>
    </row>
    <row r="22" spans="2:25" x14ac:dyDescent="0.25">
      <c r="B22" s="6" t="s">
        <v>237</v>
      </c>
      <c r="C22" s="149">
        <v>1471</v>
      </c>
      <c r="D22" s="149">
        <v>7536</v>
      </c>
      <c r="Q22" s="151" t="s">
        <v>185</v>
      </c>
      <c r="R22" s="152">
        <v>24769</v>
      </c>
      <c r="S22" s="43"/>
      <c r="X22" s="43"/>
      <c r="Y22" s="43"/>
    </row>
    <row r="23" spans="2:25" x14ac:dyDescent="0.25">
      <c r="B23" s="6" t="s">
        <v>288</v>
      </c>
      <c r="C23" s="149">
        <v>398</v>
      </c>
      <c r="D23" s="149">
        <v>1960</v>
      </c>
      <c r="Q23" s="151" t="s">
        <v>230</v>
      </c>
      <c r="R23" s="152">
        <v>1261</v>
      </c>
      <c r="S23" s="43"/>
      <c r="X23" s="43"/>
      <c r="Y23" s="43"/>
    </row>
    <row r="24" spans="2:25" x14ac:dyDescent="0.25">
      <c r="B24" s="6" t="s">
        <v>297</v>
      </c>
      <c r="C24" s="149">
        <v>148</v>
      </c>
      <c r="D24" s="149">
        <v>650</v>
      </c>
      <c r="Q24" s="151" t="s">
        <v>237</v>
      </c>
      <c r="R24" s="152">
        <v>7536</v>
      </c>
      <c r="S24" s="43"/>
      <c r="X24" s="43"/>
      <c r="Y24" s="43"/>
    </row>
    <row r="25" spans="2:25" x14ac:dyDescent="0.25">
      <c r="B25" s="6" t="s">
        <v>299</v>
      </c>
      <c r="C25" s="149">
        <v>85</v>
      </c>
      <c r="D25" s="149">
        <v>412</v>
      </c>
      <c r="Q25" s="151" t="s">
        <v>288</v>
      </c>
      <c r="R25" s="152">
        <v>1960</v>
      </c>
      <c r="S25" s="43"/>
      <c r="X25" s="43"/>
      <c r="Y25" s="43"/>
    </row>
    <row r="26" spans="2:25" x14ac:dyDescent="0.25">
      <c r="B26" s="6" t="s">
        <v>301</v>
      </c>
      <c r="C26" s="149">
        <v>507</v>
      </c>
      <c r="D26" s="149">
        <v>2177</v>
      </c>
      <c r="Q26" s="151" t="s">
        <v>297</v>
      </c>
      <c r="R26" s="152">
        <v>650</v>
      </c>
      <c r="S26" s="43"/>
      <c r="X26" s="43"/>
      <c r="Y26" s="43"/>
    </row>
    <row r="27" spans="2:25" x14ac:dyDescent="0.25">
      <c r="B27" s="6" t="s">
        <v>748</v>
      </c>
      <c r="C27" s="149">
        <v>138</v>
      </c>
      <c r="D27" s="149">
        <v>764</v>
      </c>
      <c r="Q27" s="151" t="s">
        <v>299</v>
      </c>
      <c r="R27" s="152">
        <v>412</v>
      </c>
      <c r="X27" s="43"/>
      <c r="Y27" s="43"/>
    </row>
    <row r="28" spans="2:25" x14ac:dyDescent="0.25">
      <c r="B28" s="6" t="s">
        <v>309</v>
      </c>
      <c r="C28" s="149">
        <v>4781</v>
      </c>
      <c r="D28" s="149">
        <v>24492</v>
      </c>
      <c r="Q28" s="151" t="s">
        <v>301</v>
      </c>
      <c r="R28" s="152">
        <v>2177</v>
      </c>
      <c r="X28" s="43"/>
      <c r="Y28" s="43"/>
    </row>
    <row r="29" spans="2:25" x14ac:dyDescent="0.25">
      <c r="B29" s="6" t="s">
        <v>1165</v>
      </c>
      <c r="C29" s="149">
        <v>289</v>
      </c>
      <c r="D29" s="149">
        <v>992</v>
      </c>
      <c r="Q29" s="151" t="s">
        <v>748</v>
      </c>
      <c r="R29" s="152">
        <v>764</v>
      </c>
      <c r="X29" s="43"/>
      <c r="Y29" s="43"/>
    </row>
    <row r="30" spans="2:25" x14ac:dyDescent="0.25">
      <c r="B30" s="6" t="s">
        <v>411</v>
      </c>
      <c r="C30" s="149">
        <v>19507</v>
      </c>
      <c r="D30" s="149">
        <v>98675</v>
      </c>
      <c r="Q30" s="151" t="s">
        <v>1165</v>
      </c>
      <c r="R30" s="152">
        <v>992</v>
      </c>
      <c r="X30" s="43"/>
      <c r="Y30" s="43"/>
    </row>
    <row r="31" spans="2:25" x14ac:dyDescent="0.25">
      <c r="B31"/>
      <c r="C31"/>
      <c r="D31"/>
      <c r="Q31" s="151" t="s">
        <v>309</v>
      </c>
      <c r="R31" s="152">
        <v>24492</v>
      </c>
      <c r="X31" s="43"/>
      <c r="Y31" s="43"/>
    </row>
    <row r="32" spans="2:25" x14ac:dyDescent="0.25">
      <c r="B32"/>
      <c r="C32"/>
      <c r="D32"/>
      <c r="Q32" s="197" t="s">
        <v>411</v>
      </c>
      <c r="R32" s="196">
        <v>98675</v>
      </c>
      <c r="X32" s="43"/>
      <c r="Y32" s="43"/>
    </row>
    <row r="33" spans="2:25" x14ac:dyDescent="0.25">
      <c r="B33"/>
      <c r="C33"/>
      <c r="D33"/>
      <c r="Q33"/>
      <c r="R33"/>
      <c r="X33" s="43"/>
      <c r="Y33" s="43"/>
    </row>
    <row r="34" spans="2:25" ht="21" x14ac:dyDescent="0.35">
      <c r="B34" s="683" t="s">
        <v>1626</v>
      </c>
      <c r="C34"/>
      <c r="D34"/>
      <c r="Q34"/>
      <c r="R34"/>
      <c r="X34" s="43"/>
      <c r="Y34" s="43"/>
    </row>
    <row r="35" spans="2:25" x14ac:dyDescent="0.25">
      <c r="C35"/>
      <c r="D35"/>
      <c r="Q35"/>
      <c r="R35"/>
      <c r="X35" s="43"/>
      <c r="Y35" s="43"/>
    </row>
    <row r="36" spans="2:25" hidden="1" x14ac:dyDescent="0.25">
      <c r="B36"/>
      <c r="C36"/>
      <c r="D36"/>
      <c r="Q36"/>
      <c r="R36"/>
      <c r="X36" s="43"/>
      <c r="Y36" s="43"/>
    </row>
    <row r="37" spans="2:25" hidden="1" x14ac:dyDescent="0.25">
      <c r="Q37"/>
      <c r="R37"/>
      <c r="X37" s="43"/>
      <c r="Y37" s="43"/>
    </row>
    <row r="38" spans="2:25" hidden="1" x14ac:dyDescent="0.25">
      <c r="Q38"/>
      <c r="R38"/>
      <c r="X38" s="43"/>
      <c r="Y38" s="43"/>
    </row>
    <row r="39" spans="2:25" hidden="1" x14ac:dyDescent="0.25">
      <c r="Q39"/>
      <c r="R39"/>
      <c r="X39" s="43"/>
      <c r="Y39" s="43"/>
    </row>
    <row r="40" spans="2:25" hidden="1" x14ac:dyDescent="0.25">
      <c r="Q40"/>
      <c r="R40"/>
      <c r="X40" s="43"/>
      <c r="Y40" s="43"/>
    </row>
    <row r="41" spans="2:25" hidden="1" x14ac:dyDescent="0.25">
      <c r="Q41"/>
      <c r="R41"/>
      <c r="X41" s="43"/>
      <c r="Y41" s="43"/>
    </row>
    <row r="42" spans="2:25" hidden="1" x14ac:dyDescent="0.25">
      <c r="Q42"/>
      <c r="R42"/>
      <c r="X42" s="43"/>
      <c r="Y42" s="43"/>
    </row>
    <row r="43" spans="2:25" x14ac:dyDescent="0.25">
      <c r="B43" s="179" t="s">
        <v>392</v>
      </c>
      <c r="C43" s="174" t="s">
        <v>538</v>
      </c>
      <c r="D43" s="111" t="s">
        <v>413</v>
      </c>
      <c r="Q43"/>
      <c r="R43"/>
      <c r="X43" s="43"/>
      <c r="Y43" s="43"/>
    </row>
    <row r="44" spans="2:25" x14ac:dyDescent="0.25">
      <c r="B44" s="179" t="s">
        <v>1054</v>
      </c>
      <c r="C44" s="174" t="s">
        <v>1013</v>
      </c>
      <c r="Q44"/>
      <c r="R44"/>
      <c r="X44" s="43"/>
      <c r="Y44" s="43"/>
    </row>
    <row r="45" spans="2:25" x14ac:dyDescent="0.25">
      <c r="Q45"/>
      <c r="R45"/>
      <c r="X45" s="43"/>
      <c r="Y45" s="43"/>
    </row>
    <row r="46" spans="2:25" x14ac:dyDescent="0.25">
      <c r="B46" s="169" t="s">
        <v>766</v>
      </c>
      <c r="C46" s="157" t="s">
        <v>457</v>
      </c>
      <c r="D46" s="157"/>
      <c r="E46" s="158"/>
      <c r="F46"/>
      <c r="Q46"/>
      <c r="R46"/>
      <c r="X46" s="43"/>
      <c r="Y46" s="43"/>
    </row>
    <row r="47" spans="2:25" x14ac:dyDescent="0.25">
      <c r="B47" s="170" t="s">
        <v>410</v>
      </c>
      <c r="C47" s="156" t="s">
        <v>465</v>
      </c>
      <c r="D47" s="156" t="s">
        <v>467</v>
      </c>
      <c r="E47" s="159" t="s">
        <v>1646</v>
      </c>
      <c r="F47"/>
      <c r="Q47"/>
      <c r="R47"/>
      <c r="X47" s="43"/>
      <c r="Y47" s="43"/>
    </row>
    <row r="48" spans="2:25" x14ac:dyDescent="0.25">
      <c r="B48" s="176" t="s">
        <v>460</v>
      </c>
      <c r="C48" s="177">
        <v>59777</v>
      </c>
      <c r="D48" s="177">
        <v>38898</v>
      </c>
      <c r="E48" s="178">
        <v>98675</v>
      </c>
      <c r="F48"/>
      <c r="Q48"/>
      <c r="R48"/>
      <c r="X48" s="43"/>
      <c r="Y48" s="43"/>
    </row>
    <row r="49" spans="2:25" x14ac:dyDescent="0.25">
      <c r="B49" s="199" t="s">
        <v>1646</v>
      </c>
      <c r="C49" s="200">
        <v>59777</v>
      </c>
      <c r="D49" s="200">
        <v>38898</v>
      </c>
      <c r="E49" s="198">
        <v>98675</v>
      </c>
      <c r="F49"/>
      <c r="Q49"/>
      <c r="R49"/>
      <c r="X49" s="43"/>
      <c r="Y49" s="43"/>
    </row>
    <row r="50" spans="2:25" x14ac:dyDescent="0.25">
      <c r="B50"/>
      <c r="C50"/>
      <c r="D50"/>
      <c r="E50"/>
      <c r="F50"/>
      <c r="X50" s="43"/>
      <c r="Y50" s="43"/>
    </row>
    <row r="51" spans="2:25" x14ac:dyDescent="0.25">
      <c r="B51"/>
      <c r="C51"/>
      <c r="D51"/>
      <c r="E51"/>
      <c r="F51"/>
      <c r="X51" s="43"/>
      <c r="Y51" s="43"/>
    </row>
    <row r="52" spans="2:25" s="150" customFormat="1" x14ac:dyDescent="0.25">
      <c r="B52" s="840" t="s">
        <v>1627</v>
      </c>
      <c r="C52" s="840"/>
      <c r="D52" s="840"/>
      <c r="E52" s="840"/>
      <c r="F52" s="405"/>
      <c r="X52" s="405"/>
      <c r="Y52" s="405"/>
    </row>
    <row r="53" spans="2:25" s="150" customFormat="1" ht="27.75" customHeight="1" x14ac:dyDescent="0.25">
      <c r="B53" s="840"/>
      <c r="C53" s="840"/>
      <c r="D53" s="840"/>
      <c r="E53" s="840"/>
      <c r="F53" s="147"/>
      <c r="X53" s="147"/>
      <c r="Y53" s="147"/>
    </row>
    <row r="54" spans="2:25" x14ac:dyDescent="0.25">
      <c r="B54" s="190" t="s">
        <v>458</v>
      </c>
      <c r="C54" s="190" t="s">
        <v>460</v>
      </c>
      <c r="X54" s="43"/>
      <c r="Y54" s="43"/>
    </row>
    <row r="55" spans="2:25" x14ac:dyDescent="0.25">
      <c r="B55" s="179" t="s">
        <v>1054</v>
      </c>
      <c r="C55" s="174" t="s">
        <v>1013</v>
      </c>
    </row>
    <row r="57" spans="2:25" x14ac:dyDescent="0.25">
      <c r="B57" s="169"/>
      <c r="C57" s="157" t="s">
        <v>765</v>
      </c>
      <c r="D57" s="157"/>
      <c r="E57" s="158"/>
      <c r="F57"/>
    </row>
    <row r="58" spans="2:25" x14ac:dyDescent="0.25">
      <c r="B58" s="170"/>
      <c r="C58" s="156" t="s">
        <v>465</v>
      </c>
      <c r="D58" s="156" t="s">
        <v>467</v>
      </c>
      <c r="E58" s="159" t="s">
        <v>1646</v>
      </c>
      <c r="F58"/>
    </row>
    <row r="59" spans="2:25" x14ac:dyDescent="0.25">
      <c r="B59" s="829" t="s">
        <v>766</v>
      </c>
      <c r="C59" s="172">
        <v>59777</v>
      </c>
      <c r="D59" s="172">
        <v>38898</v>
      </c>
      <c r="E59" s="173">
        <v>98675</v>
      </c>
      <c r="F59"/>
    </row>
    <row r="60" spans="2:25" x14ac:dyDescent="0.25">
      <c r="B60"/>
      <c r="C60"/>
      <c r="D60"/>
      <c r="E60"/>
      <c r="F60"/>
    </row>
    <row r="61" spans="2:25" x14ac:dyDescent="0.25">
      <c r="B61"/>
      <c r="C61"/>
      <c r="D61"/>
      <c r="E61"/>
      <c r="F61"/>
    </row>
    <row r="62" spans="2:25" x14ac:dyDescent="0.25">
      <c r="B62"/>
      <c r="C62"/>
      <c r="D62"/>
      <c r="E62"/>
      <c r="F62"/>
    </row>
    <row r="63" spans="2:25" x14ac:dyDescent="0.25">
      <c r="B63"/>
      <c r="C63"/>
      <c r="D63"/>
      <c r="E63"/>
      <c r="F63"/>
      <c r="H63" s="389"/>
    </row>
    <row r="65" spans="2:6" s="150" customFormat="1" x14ac:dyDescent="0.25">
      <c r="B65" s="840" t="s">
        <v>1628</v>
      </c>
      <c r="C65" s="840"/>
      <c r="D65" s="840"/>
      <c r="E65" s="840"/>
    </row>
    <row r="66" spans="2:6" ht="27" customHeight="1" x14ac:dyDescent="0.25">
      <c r="B66" s="840"/>
      <c r="C66" s="840"/>
      <c r="D66" s="840"/>
      <c r="E66" s="840"/>
    </row>
    <row r="67" spans="2:6" x14ac:dyDescent="0.25">
      <c r="B67" s="167" t="s">
        <v>458</v>
      </c>
      <c r="C67" s="168" t="s">
        <v>460</v>
      </c>
    </row>
    <row r="68" spans="2:6" x14ac:dyDescent="0.25">
      <c r="B68" s="167" t="s">
        <v>1054</v>
      </c>
      <c r="C68" s="168" t="s">
        <v>1013</v>
      </c>
    </row>
    <row r="70" spans="2:6" x14ac:dyDescent="0.25">
      <c r="B70" s="819"/>
      <c r="C70" s="184" t="s">
        <v>765</v>
      </c>
      <c r="D70" s="161"/>
      <c r="E70" s="162"/>
      <c r="F70"/>
    </row>
    <row r="71" spans="2:6" x14ac:dyDescent="0.25">
      <c r="B71" s="820"/>
      <c r="C71" s="148" t="s">
        <v>465</v>
      </c>
      <c r="D71" s="148" t="s">
        <v>467</v>
      </c>
      <c r="E71" s="160" t="s">
        <v>1647</v>
      </c>
      <c r="F71"/>
    </row>
    <row r="72" spans="2:6" x14ac:dyDescent="0.25">
      <c r="B72" s="822" t="s">
        <v>849</v>
      </c>
      <c r="C72" s="186">
        <v>144</v>
      </c>
      <c r="D72" s="186">
        <v>19</v>
      </c>
      <c r="E72" s="187">
        <v>163</v>
      </c>
      <c r="F72"/>
    </row>
    <row r="73" spans="2:6" x14ac:dyDescent="0.25">
      <c r="B73"/>
      <c r="C73"/>
      <c r="D73"/>
      <c r="E73"/>
      <c r="F73"/>
    </row>
    <row r="74" spans="2:6" x14ac:dyDescent="0.25">
      <c r="B74"/>
      <c r="C74"/>
      <c r="D74"/>
      <c r="E74"/>
      <c r="F74"/>
    </row>
    <row r="75" spans="2:6" x14ac:dyDescent="0.25">
      <c r="B75"/>
      <c r="C75"/>
      <c r="D75"/>
      <c r="E75"/>
      <c r="F75"/>
    </row>
    <row r="76" spans="2:6" x14ac:dyDescent="0.25">
      <c r="B76"/>
      <c r="C76"/>
      <c r="D76"/>
      <c r="E76"/>
      <c r="F76"/>
    </row>
    <row r="79" spans="2:6" s="150" customFormat="1" x14ac:dyDescent="0.25">
      <c r="B79" s="840" t="s">
        <v>1630</v>
      </c>
      <c r="C79" s="840"/>
      <c r="D79" s="840"/>
      <c r="E79" s="840"/>
    </row>
    <row r="80" spans="2:6" ht="24.75" customHeight="1" x14ac:dyDescent="0.25">
      <c r="B80" s="840"/>
      <c r="C80" s="840"/>
      <c r="D80" s="840"/>
      <c r="E80" s="840"/>
    </row>
    <row r="81" spans="2:5" x14ac:dyDescent="0.25">
      <c r="B81" s="190" t="s">
        <v>458</v>
      </c>
      <c r="C81" s="191" t="s">
        <v>460</v>
      </c>
    </row>
    <row r="82" spans="2:5" x14ac:dyDescent="0.25">
      <c r="B82" s="206" t="s">
        <v>1054</v>
      </c>
      <c r="C82" s="205" t="s">
        <v>1013</v>
      </c>
      <c r="D82" s="150"/>
    </row>
    <row r="84" spans="2:5" x14ac:dyDescent="0.25">
      <c r="B84" s="169" t="s">
        <v>1649</v>
      </c>
      <c r="C84" s="157" t="s">
        <v>1647</v>
      </c>
      <c r="D84" s="773" t="s">
        <v>1646</v>
      </c>
      <c r="E84" s="772" t="s">
        <v>1648</v>
      </c>
    </row>
    <row r="85" spans="2:5" x14ac:dyDescent="0.25">
      <c r="B85" s="171" t="s">
        <v>378</v>
      </c>
      <c r="C85" s="175">
        <v>131</v>
      </c>
      <c r="D85" s="175">
        <v>89267</v>
      </c>
      <c r="E85" s="774">
        <v>0.90465670129212061</v>
      </c>
    </row>
    <row r="86" spans="2:5" x14ac:dyDescent="0.25">
      <c r="B86" s="164" t="s">
        <v>465</v>
      </c>
      <c r="C86" s="163">
        <v>113</v>
      </c>
      <c r="D86" s="163">
        <v>50761</v>
      </c>
      <c r="E86" s="180">
        <v>0.51442614644033446</v>
      </c>
    </row>
    <row r="87" spans="2:5" x14ac:dyDescent="0.25">
      <c r="B87" s="164" t="s">
        <v>467</v>
      </c>
      <c r="C87" s="163">
        <v>18</v>
      </c>
      <c r="D87" s="163">
        <v>38506</v>
      </c>
      <c r="E87" s="180">
        <v>0.39023055485178615</v>
      </c>
    </row>
    <row r="88" spans="2:5" x14ac:dyDescent="0.25">
      <c r="B88" s="181" t="s">
        <v>507</v>
      </c>
      <c r="C88" s="163">
        <v>34</v>
      </c>
      <c r="D88" s="163">
        <v>9408</v>
      </c>
      <c r="E88" s="180">
        <v>9.5343298707879401E-2</v>
      </c>
    </row>
    <row r="89" spans="2:5" x14ac:dyDescent="0.25">
      <c r="B89" s="164" t="s">
        <v>465</v>
      </c>
      <c r="C89" s="163">
        <v>33</v>
      </c>
      <c r="D89" s="163">
        <v>9016</v>
      </c>
      <c r="E89" s="180">
        <v>9.1370661261717764E-2</v>
      </c>
    </row>
    <row r="90" spans="2:5" x14ac:dyDescent="0.25">
      <c r="B90" s="164" t="s">
        <v>467</v>
      </c>
      <c r="C90" s="163">
        <v>1</v>
      </c>
      <c r="D90" s="163">
        <v>392</v>
      </c>
      <c r="E90" s="180">
        <v>3.9726374461616417E-3</v>
      </c>
    </row>
    <row r="91" spans="2:5" x14ac:dyDescent="0.25">
      <c r="B91" s="165" t="s">
        <v>411</v>
      </c>
      <c r="C91" s="166">
        <v>165</v>
      </c>
      <c r="D91" s="166">
        <v>98675</v>
      </c>
      <c r="E91" s="182">
        <v>1</v>
      </c>
    </row>
    <row r="92" spans="2:5" x14ac:dyDescent="0.25">
      <c r="B92"/>
      <c r="C92"/>
      <c r="D92"/>
      <c r="E92"/>
    </row>
    <row r="93" spans="2:5" x14ac:dyDescent="0.25">
      <c r="B93"/>
      <c r="C93"/>
      <c r="D93"/>
      <c r="E93"/>
    </row>
    <row r="94" spans="2:5" x14ac:dyDescent="0.25">
      <c r="B94"/>
      <c r="C94"/>
      <c r="D94"/>
      <c r="E94"/>
    </row>
    <row r="95" spans="2:5" x14ac:dyDescent="0.25">
      <c r="B95"/>
      <c r="C95"/>
      <c r="D95"/>
      <c r="E95"/>
    </row>
    <row r="96" spans="2:5" x14ac:dyDescent="0.25">
      <c r="B96"/>
      <c r="C96"/>
      <c r="D96"/>
      <c r="E96"/>
    </row>
    <row r="97" spans="2:5" x14ac:dyDescent="0.25">
      <c r="B97"/>
      <c r="C97"/>
      <c r="D97"/>
      <c r="E97"/>
    </row>
    <row r="98" spans="2:5" x14ac:dyDescent="0.25">
      <c r="B98"/>
      <c r="C98"/>
      <c r="D98"/>
      <c r="E98"/>
    </row>
    <row r="99" spans="2:5" x14ac:dyDescent="0.25">
      <c r="B99"/>
      <c r="C99"/>
      <c r="D99"/>
      <c r="E99"/>
    </row>
    <row r="100" spans="2:5" x14ac:dyDescent="0.25">
      <c r="B100"/>
      <c r="C100"/>
      <c r="D100"/>
      <c r="E100"/>
    </row>
    <row r="101" spans="2:5" x14ac:dyDescent="0.25">
      <c r="B101"/>
      <c r="C101"/>
      <c r="D101"/>
      <c r="E101"/>
    </row>
    <row r="102" spans="2:5" x14ac:dyDescent="0.25">
      <c r="B102"/>
      <c r="C102"/>
      <c r="D102"/>
      <c r="E102"/>
    </row>
    <row r="103" spans="2:5" x14ac:dyDescent="0.25">
      <c r="B103"/>
      <c r="C103"/>
      <c r="D103"/>
      <c r="E103"/>
    </row>
    <row r="104" spans="2:5" x14ac:dyDescent="0.25">
      <c r="B104"/>
      <c r="C104"/>
      <c r="D104"/>
      <c r="E104"/>
    </row>
    <row r="105" spans="2:5" x14ac:dyDescent="0.25">
      <c r="B105"/>
      <c r="C105"/>
      <c r="D105"/>
      <c r="E105"/>
    </row>
    <row r="106" spans="2:5" x14ac:dyDescent="0.25">
      <c r="B106"/>
      <c r="C106"/>
      <c r="D106"/>
      <c r="E106"/>
    </row>
    <row r="107" spans="2:5" x14ac:dyDescent="0.25">
      <c r="B107"/>
      <c r="C107"/>
      <c r="D107"/>
      <c r="E107"/>
    </row>
    <row r="108" spans="2:5" x14ac:dyDescent="0.25">
      <c r="B108"/>
      <c r="C108"/>
      <c r="D108"/>
      <c r="E108"/>
    </row>
    <row r="109" spans="2:5" x14ac:dyDescent="0.25">
      <c r="B109"/>
      <c r="C109"/>
      <c r="D109"/>
      <c r="E109"/>
    </row>
    <row r="110" spans="2:5" x14ac:dyDescent="0.25">
      <c r="B110"/>
      <c r="C110"/>
      <c r="D110"/>
      <c r="E110"/>
    </row>
    <row r="111" spans="2:5" x14ac:dyDescent="0.25">
      <c r="B111"/>
      <c r="C111"/>
      <c r="D111"/>
      <c r="E111"/>
    </row>
    <row r="112" spans="2:5" x14ac:dyDescent="0.25">
      <c r="B112"/>
      <c r="C112"/>
      <c r="D112"/>
      <c r="E112"/>
    </row>
    <row r="113" spans="2:5" x14ac:dyDescent="0.25">
      <c r="B113"/>
      <c r="C113"/>
      <c r="D113"/>
      <c r="E113"/>
    </row>
    <row r="114" spans="2:5" x14ac:dyDescent="0.25">
      <c r="B114"/>
      <c r="C114"/>
      <c r="D114"/>
      <c r="E114"/>
    </row>
    <row r="115" spans="2:5" x14ac:dyDescent="0.25">
      <c r="B115"/>
      <c r="C115"/>
      <c r="D115"/>
      <c r="E115"/>
    </row>
    <row r="116" spans="2:5" x14ac:dyDescent="0.25">
      <c r="B116"/>
      <c r="C116"/>
      <c r="D116"/>
      <c r="E116"/>
    </row>
    <row r="117" spans="2:5" x14ac:dyDescent="0.25">
      <c r="B117"/>
      <c r="C117"/>
      <c r="D117"/>
      <c r="E117"/>
    </row>
    <row r="118" spans="2:5" x14ac:dyDescent="0.25">
      <c r="B118"/>
      <c r="C118"/>
      <c r="D118"/>
      <c r="E118"/>
    </row>
    <row r="119" spans="2:5" x14ac:dyDescent="0.25">
      <c r="B119"/>
      <c r="C119"/>
      <c r="D119"/>
      <c r="E119"/>
    </row>
    <row r="120" spans="2:5" x14ac:dyDescent="0.25">
      <c r="B120"/>
      <c r="C120"/>
      <c r="D120"/>
      <c r="E120"/>
    </row>
    <row r="121" spans="2:5" x14ac:dyDescent="0.25">
      <c r="B121"/>
      <c r="C121"/>
      <c r="D121"/>
      <c r="E121"/>
    </row>
    <row r="122" spans="2:5" x14ac:dyDescent="0.25">
      <c r="B122"/>
      <c r="C122"/>
      <c r="D122"/>
      <c r="E122"/>
    </row>
    <row r="123" spans="2:5" x14ac:dyDescent="0.25">
      <c r="B123"/>
      <c r="C123"/>
      <c r="D123"/>
      <c r="E123"/>
    </row>
    <row r="124" spans="2:5" x14ac:dyDescent="0.25">
      <c r="B124"/>
      <c r="C124"/>
      <c r="D124"/>
      <c r="E124"/>
    </row>
    <row r="125" spans="2:5" x14ac:dyDescent="0.25">
      <c r="B125"/>
      <c r="C125"/>
      <c r="D125"/>
      <c r="E125"/>
    </row>
    <row r="126" spans="2:5" x14ac:dyDescent="0.25">
      <c r="B126"/>
      <c r="C126"/>
      <c r="D126"/>
      <c r="E126"/>
    </row>
    <row r="127" spans="2:5" x14ac:dyDescent="0.25">
      <c r="B127"/>
      <c r="C127"/>
      <c r="D127"/>
      <c r="E127"/>
    </row>
    <row r="128" spans="2:5" x14ac:dyDescent="0.25">
      <c r="B128"/>
      <c r="C128"/>
      <c r="D128"/>
      <c r="E128"/>
    </row>
    <row r="129" spans="2:5" x14ac:dyDescent="0.25">
      <c r="B129"/>
      <c r="C129"/>
      <c r="D129"/>
      <c r="E129"/>
    </row>
    <row r="130" spans="2:5" x14ac:dyDescent="0.25">
      <c r="B130"/>
      <c r="C130"/>
      <c r="D130"/>
      <c r="E130"/>
    </row>
    <row r="131" spans="2:5" x14ac:dyDescent="0.25">
      <c r="B131"/>
      <c r="C131"/>
      <c r="D131"/>
      <c r="E131"/>
    </row>
    <row r="132" spans="2:5" x14ac:dyDescent="0.25">
      <c r="B132"/>
      <c r="C132"/>
      <c r="D132"/>
      <c r="E132"/>
    </row>
    <row r="133" spans="2:5" x14ac:dyDescent="0.25">
      <c r="B133"/>
      <c r="C133"/>
      <c r="D133"/>
      <c r="E133"/>
    </row>
    <row r="134" spans="2:5" x14ac:dyDescent="0.25">
      <c r="B134"/>
      <c r="C134"/>
      <c r="D134"/>
      <c r="E134"/>
    </row>
    <row r="135" spans="2:5" x14ac:dyDescent="0.25">
      <c r="B135"/>
      <c r="C135"/>
      <c r="D135"/>
      <c r="E135"/>
    </row>
    <row r="136" spans="2:5" x14ac:dyDescent="0.25">
      <c r="B136"/>
      <c r="C136"/>
      <c r="D136"/>
      <c r="E136"/>
    </row>
    <row r="137" spans="2:5" x14ac:dyDescent="0.25">
      <c r="B137"/>
      <c r="C137"/>
      <c r="D137"/>
      <c r="E137"/>
    </row>
    <row r="138" spans="2:5" x14ac:dyDescent="0.25">
      <c r="B138"/>
      <c r="C138"/>
      <c r="D138"/>
      <c r="E138"/>
    </row>
    <row r="139" spans="2:5" x14ac:dyDescent="0.25">
      <c r="B139"/>
      <c r="C139"/>
      <c r="D139"/>
      <c r="E139"/>
    </row>
    <row r="140" spans="2:5" x14ac:dyDescent="0.25">
      <c r="B140"/>
      <c r="C140"/>
      <c r="D140"/>
      <c r="E140"/>
    </row>
    <row r="141" spans="2:5" x14ac:dyDescent="0.25">
      <c r="B141"/>
      <c r="C141"/>
      <c r="D141"/>
      <c r="E141"/>
    </row>
    <row r="142" spans="2:5" x14ac:dyDescent="0.25">
      <c r="B142"/>
      <c r="C142"/>
      <c r="D142"/>
      <c r="E142"/>
    </row>
    <row r="143" spans="2:5" x14ac:dyDescent="0.25">
      <c r="B143"/>
      <c r="C143"/>
      <c r="D143"/>
      <c r="E143"/>
    </row>
    <row r="144" spans="2:5" x14ac:dyDescent="0.25">
      <c r="B144"/>
      <c r="C144"/>
      <c r="D144"/>
      <c r="E144"/>
    </row>
    <row r="145" spans="2:5" x14ac:dyDescent="0.25">
      <c r="B145"/>
      <c r="C145"/>
      <c r="D145"/>
      <c r="E145"/>
    </row>
    <row r="146" spans="2:5" x14ac:dyDescent="0.25">
      <c r="B146"/>
      <c r="C146"/>
      <c r="D146"/>
      <c r="E146"/>
    </row>
    <row r="147" spans="2:5" x14ac:dyDescent="0.25">
      <c r="B147"/>
      <c r="C147"/>
      <c r="D147"/>
      <c r="E147"/>
    </row>
    <row r="148" spans="2:5" x14ac:dyDescent="0.25">
      <c r="B148"/>
      <c r="C148"/>
      <c r="D148"/>
      <c r="E148"/>
    </row>
    <row r="149" spans="2:5" x14ac:dyDescent="0.25">
      <c r="B149"/>
      <c r="C149"/>
      <c r="D149"/>
      <c r="E149"/>
    </row>
    <row r="150" spans="2:5" x14ac:dyDescent="0.25">
      <c r="B150"/>
      <c r="C150"/>
      <c r="D150"/>
      <c r="E150"/>
    </row>
    <row r="151" spans="2:5" x14ac:dyDescent="0.25">
      <c r="B151"/>
      <c r="C151"/>
      <c r="D151"/>
      <c r="E151"/>
    </row>
    <row r="152" spans="2:5" x14ac:dyDescent="0.25">
      <c r="B152"/>
      <c r="C152"/>
      <c r="D152"/>
      <c r="E152"/>
    </row>
    <row r="153" spans="2:5" x14ac:dyDescent="0.25">
      <c r="B153"/>
      <c r="C153"/>
      <c r="D153"/>
      <c r="E153"/>
    </row>
    <row r="154" spans="2:5" x14ac:dyDescent="0.25">
      <c r="B154"/>
      <c r="C154"/>
      <c r="D154"/>
      <c r="E154"/>
    </row>
    <row r="155" spans="2:5" x14ac:dyDescent="0.25">
      <c r="B155"/>
      <c r="C155"/>
      <c r="D155"/>
      <c r="E155"/>
    </row>
    <row r="156" spans="2:5" x14ac:dyDescent="0.25">
      <c r="B156"/>
      <c r="C156"/>
      <c r="D156"/>
      <c r="E156"/>
    </row>
    <row r="157" spans="2:5" x14ac:dyDescent="0.25">
      <c r="B157"/>
      <c r="C157"/>
      <c r="D157"/>
      <c r="E157"/>
    </row>
    <row r="158" spans="2:5" x14ac:dyDescent="0.25">
      <c r="B158"/>
      <c r="C158"/>
      <c r="D158"/>
      <c r="E158"/>
    </row>
    <row r="159" spans="2:5" x14ac:dyDescent="0.25">
      <c r="B159"/>
      <c r="C159"/>
      <c r="D159"/>
      <c r="E159"/>
    </row>
    <row r="160" spans="2:5" x14ac:dyDescent="0.25">
      <c r="B160"/>
      <c r="C160"/>
      <c r="D160"/>
      <c r="E160"/>
    </row>
    <row r="161" spans="2:5" x14ac:dyDescent="0.25">
      <c r="B161"/>
      <c r="C161"/>
      <c r="D161"/>
      <c r="E161"/>
    </row>
    <row r="162" spans="2:5" x14ac:dyDescent="0.25">
      <c r="B162"/>
      <c r="C162"/>
      <c r="D162"/>
      <c r="E162"/>
    </row>
    <row r="163" spans="2:5" x14ac:dyDescent="0.25">
      <c r="B163"/>
      <c r="C163"/>
      <c r="D163"/>
      <c r="E163"/>
    </row>
    <row r="164" spans="2:5" x14ac:dyDescent="0.25">
      <c r="B164"/>
      <c r="C164"/>
      <c r="D164"/>
      <c r="E164"/>
    </row>
    <row r="165" spans="2:5" x14ac:dyDescent="0.25">
      <c r="B165"/>
      <c r="C165"/>
      <c r="D165"/>
      <c r="E165"/>
    </row>
    <row r="166" spans="2:5" x14ac:dyDescent="0.25">
      <c r="B166"/>
      <c r="C166"/>
      <c r="D166"/>
      <c r="E166"/>
    </row>
    <row r="167" spans="2:5" x14ac:dyDescent="0.25">
      <c r="B167"/>
      <c r="C167"/>
      <c r="D167"/>
      <c r="E167"/>
    </row>
    <row r="168" spans="2:5" x14ac:dyDescent="0.25">
      <c r="B168"/>
      <c r="C168"/>
      <c r="D168"/>
      <c r="E168"/>
    </row>
    <row r="169" spans="2:5" x14ac:dyDescent="0.25">
      <c r="B169"/>
      <c r="C169"/>
      <c r="D169"/>
      <c r="E169"/>
    </row>
    <row r="170" spans="2:5" x14ac:dyDescent="0.25">
      <c r="B170"/>
      <c r="C170"/>
      <c r="D170"/>
      <c r="E170"/>
    </row>
    <row r="171" spans="2:5" x14ac:dyDescent="0.25">
      <c r="B171"/>
      <c r="C171"/>
      <c r="D171"/>
      <c r="E171"/>
    </row>
    <row r="172" spans="2:5" x14ac:dyDescent="0.25">
      <c r="B172"/>
      <c r="C172"/>
      <c r="D172"/>
      <c r="E172"/>
    </row>
    <row r="173" spans="2:5" x14ac:dyDescent="0.25">
      <c r="B173"/>
      <c r="C173"/>
      <c r="D173"/>
      <c r="E173"/>
    </row>
    <row r="174" spans="2:5" x14ac:dyDescent="0.25">
      <c r="B174"/>
      <c r="C174"/>
      <c r="D174"/>
      <c r="E174"/>
    </row>
    <row r="175" spans="2:5" x14ac:dyDescent="0.25">
      <c r="B175"/>
      <c r="C175"/>
      <c r="D175"/>
      <c r="E175"/>
    </row>
    <row r="176" spans="2:5" x14ac:dyDescent="0.25">
      <c r="B176"/>
      <c r="C176"/>
      <c r="D176"/>
      <c r="E176"/>
    </row>
    <row r="177" spans="2:5" x14ac:dyDescent="0.25">
      <c r="B177"/>
      <c r="C177"/>
      <c r="D177"/>
      <c r="E177"/>
    </row>
    <row r="178" spans="2:5" x14ac:dyDescent="0.25">
      <c r="B178"/>
      <c r="C178"/>
      <c r="D178"/>
      <c r="E178"/>
    </row>
    <row r="179" spans="2:5" x14ac:dyDescent="0.25">
      <c r="B179"/>
      <c r="C179"/>
      <c r="D179"/>
      <c r="E179"/>
    </row>
    <row r="180" spans="2:5" x14ac:dyDescent="0.25">
      <c r="B180"/>
      <c r="C180"/>
      <c r="D180"/>
      <c r="E180"/>
    </row>
    <row r="181" spans="2:5" x14ac:dyDescent="0.25">
      <c r="B181"/>
      <c r="C181"/>
      <c r="D181"/>
      <c r="E181"/>
    </row>
    <row r="182" spans="2:5" x14ac:dyDescent="0.25">
      <c r="B182"/>
      <c r="C182"/>
      <c r="D182"/>
      <c r="E182"/>
    </row>
    <row r="183" spans="2:5" x14ac:dyDescent="0.25">
      <c r="B183"/>
      <c r="C183"/>
      <c r="D183"/>
      <c r="E183"/>
    </row>
    <row r="184" spans="2:5" x14ac:dyDescent="0.25">
      <c r="B184"/>
      <c r="C184"/>
      <c r="D184"/>
      <c r="E184"/>
    </row>
    <row r="185" spans="2:5" x14ac:dyDescent="0.25">
      <c r="B185"/>
      <c r="C185"/>
      <c r="D185"/>
      <c r="E185"/>
    </row>
    <row r="186" spans="2:5" x14ac:dyDescent="0.25">
      <c r="B186"/>
      <c r="C186"/>
      <c r="D186"/>
      <c r="E186"/>
    </row>
    <row r="187" spans="2:5" x14ac:dyDescent="0.25">
      <c r="B187"/>
      <c r="C187"/>
      <c r="D187"/>
      <c r="E187"/>
    </row>
    <row r="188" spans="2:5" x14ac:dyDescent="0.25">
      <c r="B188"/>
      <c r="C188"/>
      <c r="D188"/>
      <c r="E188"/>
    </row>
    <row r="189" spans="2:5" x14ac:dyDescent="0.25">
      <c r="B189"/>
      <c r="C189"/>
      <c r="D189"/>
      <c r="E189"/>
    </row>
    <row r="190" spans="2:5" x14ac:dyDescent="0.25">
      <c r="B190"/>
      <c r="C190"/>
      <c r="D190"/>
      <c r="E190"/>
    </row>
    <row r="191" spans="2:5" x14ac:dyDescent="0.25">
      <c r="B191"/>
      <c r="C191"/>
      <c r="D191"/>
      <c r="E191"/>
    </row>
    <row r="192" spans="2:5" x14ac:dyDescent="0.25">
      <c r="B192"/>
      <c r="C192"/>
      <c r="D192"/>
      <c r="E192"/>
    </row>
    <row r="193" spans="2:5" x14ac:dyDescent="0.25">
      <c r="B193"/>
      <c r="C193"/>
      <c r="D193"/>
      <c r="E193"/>
    </row>
    <row r="194" spans="2:5" x14ac:dyDescent="0.25">
      <c r="B194"/>
      <c r="C194"/>
      <c r="D194"/>
      <c r="E194"/>
    </row>
    <row r="195" spans="2:5" x14ac:dyDescent="0.25">
      <c r="B195"/>
      <c r="C195"/>
      <c r="D195"/>
      <c r="E195"/>
    </row>
    <row r="196" spans="2:5" x14ac:dyDescent="0.25">
      <c r="B196"/>
      <c r="C196"/>
      <c r="D196"/>
      <c r="E196"/>
    </row>
    <row r="197" spans="2:5" x14ac:dyDescent="0.25">
      <c r="B197"/>
      <c r="C197"/>
      <c r="D197"/>
      <c r="E197"/>
    </row>
    <row r="198" spans="2:5" x14ac:dyDescent="0.25">
      <c r="B198"/>
      <c r="C198"/>
      <c r="D198"/>
      <c r="E198"/>
    </row>
    <row r="199" spans="2:5" x14ac:dyDescent="0.25">
      <c r="B199"/>
      <c r="C199"/>
      <c r="D199"/>
      <c r="E199"/>
    </row>
    <row r="200" spans="2:5" x14ac:dyDescent="0.25">
      <c r="B200"/>
      <c r="C200"/>
      <c r="D200"/>
      <c r="E200"/>
    </row>
    <row r="201" spans="2:5" x14ac:dyDescent="0.25">
      <c r="B201"/>
      <c r="C201"/>
      <c r="D201"/>
      <c r="E201"/>
    </row>
    <row r="202" spans="2:5" x14ac:dyDescent="0.25">
      <c r="B202"/>
      <c r="C202"/>
      <c r="D202"/>
      <c r="E202"/>
    </row>
    <row r="203" spans="2:5" x14ac:dyDescent="0.25">
      <c r="B203"/>
      <c r="C203"/>
      <c r="D203"/>
      <c r="E203"/>
    </row>
    <row r="204" spans="2:5" x14ac:dyDescent="0.25">
      <c r="B204"/>
      <c r="C204"/>
      <c r="D204"/>
      <c r="E204"/>
    </row>
    <row r="205" spans="2:5" x14ac:dyDescent="0.25">
      <c r="B205"/>
      <c r="C205"/>
      <c r="D205"/>
      <c r="E205"/>
    </row>
    <row r="206" spans="2:5" x14ac:dyDescent="0.25">
      <c r="B206"/>
      <c r="C206"/>
      <c r="D206"/>
      <c r="E206"/>
    </row>
    <row r="207" spans="2:5" x14ac:dyDescent="0.25">
      <c r="B207"/>
      <c r="C207"/>
      <c r="D207"/>
      <c r="E207"/>
    </row>
    <row r="208" spans="2:5" x14ac:dyDescent="0.25">
      <c r="B208"/>
      <c r="C208"/>
      <c r="D208"/>
      <c r="E208"/>
    </row>
    <row r="209" spans="2:5" x14ac:dyDescent="0.25">
      <c r="B209"/>
      <c r="C209"/>
      <c r="D209"/>
      <c r="E209"/>
    </row>
    <row r="210" spans="2:5" x14ac:dyDescent="0.25">
      <c r="B210"/>
      <c r="C210"/>
      <c r="D210"/>
      <c r="E210"/>
    </row>
    <row r="211" spans="2:5" x14ac:dyDescent="0.25">
      <c r="B211" s="43"/>
      <c r="C211" s="43"/>
      <c r="D211" s="43"/>
      <c r="E211" s="43"/>
    </row>
    <row r="212" spans="2:5" x14ac:dyDescent="0.25">
      <c r="B212" s="43"/>
      <c r="C212" s="43"/>
      <c r="D212" s="43"/>
      <c r="E212" s="43"/>
    </row>
    <row r="213" spans="2:5" x14ac:dyDescent="0.25">
      <c r="B213" s="43"/>
      <c r="C213" s="43"/>
      <c r="D213" s="43"/>
      <c r="E213" s="43"/>
    </row>
    <row r="214" spans="2:5" x14ac:dyDescent="0.25">
      <c r="B214" s="43"/>
      <c r="C214" s="43"/>
      <c r="D214" s="43"/>
      <c r="E214" s="43"/>
    </row>
    <row r="215" spans="2:5" x14ac:dyDescent="0.25">
      <c r="B215" s="43"/>
      <c r="C215" s="43"/>
      <c r="D215" s="43"/>
      <c r="E215" s="43"/>
    </row>
    <row r="216" spans="2:5" x14ac:dyDescent="0.25">
      <c r="B216" s="43"/>
      <c r="C216" s="43"/>
      <c r="D216" s="43"/>
      <c r="E216" s="43"/>
    </row>
    <row r="217" spans="2:5" x14ac:dyDescent="0.25">
      <c r="B217" s="43"/>
      <c r="C217" s="43"/>
      <c r="D217" s="43"/>
      <c r="E217" s="43"/>
    </row>
    <row r="218" spans="2:5" x14ac:dyDescent="0.25">
      <c r="B218" s="43"/>
      <c r="C218" s="43"/>
      <c r="D218" s="43"/>
      <c r="E218" s="43"/>
    </row>
    <row r="219" spans="2:5" x14ac:dyDescent="0.25">
      <c r="B219" s="43"/>
      <c r="C219" s="43"/>
      <c r="D219" s="43"/>
      <c r="E219" s="43"/>
    </row>
    <row r="220" spans="2:5" x14ac:dyDescent="0.25">
      <c r="B220" s="43"/>
      <c r="C220" s="43"/>
      <c r="D220" s="43"/>
      <c r="E220" s="43"/>
    </row>
    <row r="221" spans="2:5" x14ac:dyDescent="0.25">
      <c r="B221" s="43"/>
      <c r="C221" s="43"/>
      <c r="D221" s="43"/>
      <c r="E221" s="43"/>
    </row>
    <row r="222" spans="2:5" x14ac:dyDescent="0.25">
      <c r="B222" s="43"/>
      <c r="C222" s="43"/>
      <c r="D222" s="43"/>
      <c r="E222" s="43"/>
    </row>
    <row r="223" spans="2:5" x14ac:dyDescent="0.25">
      <c r="B223" s="43"/>
      <c r="C223" s="43"/>
      <c r="D223" s="43"/>
      <c r="E223" s="43"/>
    </row>
    <row r="224" spans="2:5" x14ac:dyDescent="0.25">
      <c r="B224" s="43"/>
      <c r="C224" s="43"/>
      <c r="D224" s="43"/>
      <c r="E224" s="43"/>
    </row>
    <row r="225" spans="2:5" x14ac:dyDescent="0.25">
      <c r="B225" s="43"/>
      <c r="C225" s="43"/>
      <c r="D225" s="43"/>
      <c r="E225" s="43"/>
    </row>
    <row r="226" spans="2:5" x14ac:dyDescent="0.25">
      <c r="B226" s="43"/>
      <c r="C226" s="43"/>
      <c r="D226" s="43"/>
      <c r="E226" s="43"/>
    </row>
    <row r="227" spans="2:5" x14ac:dyDescent="0.25">
      <c r="B227" s="43"/>
      <c r="C227" s="43"/>
      <c r="D227" s="43"/>
      <c r="E227" s="43"/>
    </row>
    <row r="228" spans="2:5" x14ac:dyDescent="0.25">
      <c r="B228" s="43"/>
      <c r="C228" s="43"/>
      <c r="D228" s="43"/>
      <c r="E228" s="43"/>
    </row>
    <row r="229" spans="2:5" x14ac:dyDescent="0.25">
      <c r="B229" s="43"/>
      <c r="C229" s="43"/>
      <c r="D229" s="43"/>
      <c r="E229" s="43"/>
    </row>
    <row r="230" spans="2:5" x14ac:dyDescent="0.25">
      <c r="B230" s="43"/>
      <c r="C230" s="43"/>
      <c r="D230" s="43"/>
      <c r="E230" s="43"/>
    </row>
    <row r="231" spans="2:5" x14ac:dyDescent="0.25">
      <c r="B231" s="43"/>
      <c r="C231" s="43"/>
      <c r="D231" s="43"/>
      <c r="E231" s="43"/>
    </row>
    <row r="232" spans="2:5" x14ac:dyDescent="0.25">
      <c r="B232" s="43"/>
      <c r="C232" s="43"/>
      <c r="D232" s="43"/>
      <c r="E232" s="43"/>
    </row>
    <row r="233" spans="2:5" x14ac:dyDescent="0.25">
      <c r="B233" s="43"/>
      <c r="C233" s="43"/>
      <c r="D233" s="43"/>
      <c r="E233" s="43"/>
    </row>
    <row r="234" spans="2:5" x14ac:dyDescent="0.25">
      <c r="B234" s="43"/>
      <c r="C234" s="43"/>
      <c r="D234" s="43"/>
      <c r="E234" s="43"/>
    </row>
    <row r="235" spans="2:5" x14ac:dyDescent="0.25">
      <c r="B235" s="43"/>
      <c r="C235" s="43"/>
      <c r="D235" s="43"/>
      <c r="E235" s="43"/>
    </row>
    <row r="236" spans="2:5" x14ac:dyDescent="0.25">
      <c r="B236" s="43"/>
      <c r="C236" s="43"/>
      <c r="D236" s="43"/>
      <c r="E236" s="43"/>
    </row>
    <row r="237" spans="2:5" x14ac:dyDescent="0.25">
      <c r="B237" s="43"/>
      <c r="C237" s="43"/>
      <c r="D237" s="43"/>
      <c r="E237" s="43"/>
    </row>
    <row r="238" spans="2:5" x14ac:dyDescent="0.25">
      <c r="B238" s="43"/>
      <c r="C238" s="43"/>
      <c r="D238" s="43"/>
      <c r="E238" s="43"/>
    </row>
    <row r="239" spans="2:5" x14ac:dyDescent="0.25">
      <c r="B239" s="43"/>
      <c r="C239" s="43"/>
      <c r="D239" s="43"/>
      <c r="E239" s="43"/>
    </row>
    <row r="240" spans="2:5" x14ac:dyDescent="0.25">
      <c r="B240" s="43"/>
      <c r="C240" s="43"/>
      <c r="D240" s="43"/>
      <c r="E240" s="43"/>
    </row>
    <row r="241" spans="2:5" x14ac:dyDescent="0.25">
      <c r="B241" s="43"/>
      <c r="C241" s="43"/>
      <c r="D241" s="43"/>
      <c r="E241" s="43"/>
    </row>
    <row r="242" spans="2:5" x14ac:dyDescent="0.25">
      <c r="B242" s="43"/>
      <c r="C242" s="43"/>
      <c r="D242" s="43"/>
      <c r="E242" s="43"/>
    </row>
    <row r="243" spans="2:5" x14ac:dyDescent="0.25">
      <c r="B243" s="43"/>
      <c r="C243" s="43"/>
      <c r="D243" s="43"/>
      <c r="E243" s="43"/>
    </row>
    <row r="244" spans="2:5" x14ac:dyDescent="0.25">
      <c r="B244" s="43"/>
      <c r="C244" s="43"/>
      <c r="D244" s="43"/>
      <c r="E244" s="43"/>
    </row>
    <row r="245" spans="2:5" x14ac:dyDescent="0.25">
      <c r="B245" s="43"/>
      <c r="C245" s="43"/>
      <c r="D245" s="43"/>
      <c r="E245" s="43"/>
    </row>
    <row r="246" spans="2:5" x14ac:dyDescent="0.25">
      <c r="B246" s="43"/>
      <c r="C246" s="43"/>
      <c r="D246" s="43"/>
      <c r="E246" s="43"/>
    </row>
    <row r="247" spans="2:5" x14ac:dyDescent="0.25">
      <c r="B247" s="43"/>
      <c r="C247" s="43"/>
      <c r="D247" s="43"/>
      <c r="E247" s="43"/>
    </row>
    <row r="248" spans="2:5" x14ac:dyDescent="0.25">
      <c r="B248" s="43"/>
      <c r="C248" s="43"/>
      <c r="D248" s="43"/>
      <c r="E248" s="43"/>
    </row>
    <row r="249" spans="2:5" x14ac:dyDescent="0.25">
      <c r="B249" s="43"/>
      <c r="C249" s="43"/>
      <c r="D249" s="43"/>
      <c r="E249" s="43"/>
    </row>
    <row r="250" spans="2:5" x14ac:dyDescent="0.25">
      <c r="B250" s="43"/>
      <c r="C250" s="43"/>
      <c r="D250" s="43"/>
      <c r="E250" s="43"/>
    </row>
    <row r="251" spans="2:5" x14ac:dyDescent="0.25">
      <c r="B251" s="43"/>
      <c r="C251" s="43"/>
      <c r="D251" s="43"/>
      <c r="E251" s="43"/>
    </row>
    <row r="252" spans="2:5" x14ac:dyDescent="0.25">
      <c r="B252" s="43"/>
      <c r="C252" s="43"/>
      <c r="D252" s="43"/>
      <c r="E252" s="43"/>
    </row>
    <row r="253" spans="2:5" x14ac:dyDescent="0.25">
      <c r="B253" s="43"/>
      <c r="C253" s="43"/>
      <c r="D253" s="43"/>
      <c r="E253" s="43"/>
    </row>
    <row r="254" spans="2:5" x14ac:dyDescent="0.25">
      <c r="B254" s="43"/>
      <c r="C254" s="43"/>
      <c r="D254" s="43"/>
      <c r="E254" s="43"/>
    </row>
    <row r="255" spans="2:5" x14ac:dyDescent="0.25">
      <c r="B255" s="43"/>
      <c r="C255" s="43"/>
      <c r="D255" s="43"/>
      <c r="E255" s="43"/>
    </row>
    <row r="256" spans="2:5" x14ac:dyDescent="0.25">
      <c r="B256" s="43"/>
      <c r="C256" s="43"/>
      <c r="D256" s="43"/>
      <c r="E256" s="43"/>
    </row>
    <row r="257" spans="2:5" x14ac:dyDescent="0.25">
      <c r="B257" s="43"/>
      <c r="C257" s="43"/>
      <c r="D257" s="43"/>
      <c r="E257" s="43"/>
    </row>
    <row r="258" spans="2:5" x14ac:dyDescent="0.25">
      <c r="B258" s="43"/>
      <c r="C258" s="43"/>
      <c r="D258" s="43"/>
      <c r="E258" s="43"/>
    </row>
    <row r="259" spans="2:5" x14ac:dyDescent="0.25">
      <c r="B259" s="43"/>
      <c r="C259" s="43"/>
      <c r="D259" s="43"/>
      <c r="E259" s="43"/>
    </row>
    <row r="260" spans="2:5" x14ac:dyDescent="0.25">
      <c r="B260" s="43"/>
      <c r="C260" s="43"/>
      <c r="D260" s="43"/>
      <c r="E260" s="43"/>
    </row>
    <row r="261" spans="2:5" x14ac:dyDescent="0.25">
      <c r="B261" s="43"/>
      <c r="C261" s="43"/>
      <c r="D261" s="43"/>
      <c r="E261" s="43"/>
    </row>
    <row r="262" spans="2:5" x14ac:dyDescent="0.25">
      <c r="B262" s="43"/>
      <c r="C262" s="43"/>
      <c r="D262" s="43"/>
      <c r="E262" s="43"/>
    </row>
    <row r="263" spans="2:5" x14ac:dyDescent="0.25">
      <c r="B263" s="43"/>
      <c r="C263" s="43"/>
      <c r="D263" s="43"/>
      <c r="E263" s="43"/>
    </row>
    <row r="264" spans="2:5" x14ac:dyDescent="0.25">
      <c r="B264" s="43"/>
      <c r="C264" s="43"/>
      <c r="D264" s="43"/>
      <c r="E264" s="43"/>
    </row>
    <row r="265" spans="2:5" x14ac:dyDescent="0.25">
      <c r="B265" s="43"/>
      <c r="C265" s="43"/>
      <c r="D265" s="43"/>
      <c r="E265" s="43"/>
    </row>
    <row r="266" spans="2:5" x14ac:dyDescent="0.25">
      <c r="B266" s="43"/>
      <c r="C266" s="43"/>
      <c r="D266" s="43"/>
      <c r="E266" s="43"/>
    </row>
    <row r="267" spans="2:5" x14ac:dyDescent="0.25">
      <c r="B267" s="43"/>
      <c r="C267" s="43"/>
      <c r="D267" s="43"/>
      <c r="E267" s="43"/>
    </row>
    <row r="268" spans="2:5" x14ac:dyDescent="0.25">
      <c r="B268" s="43"/>
      <c r="C268" s="43"/>
      <c r="D268" s="43"/>
      <c r="E268" s="43"/>
    </row>
  </sheetData>
  <mergeCells count="11">
    <mergeCell ref="B79:E80"/>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69"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opLeftCell="A28" zoomScale="90" zoomScaleNormal="90" zoomScaleSheetLayoutView="100" workbookViewId="0">
      <selection activeCell="D33" sqref="D33"/>
    </sheetView>
  </sheetViews>
  <sheetFormatPr defaultColWidth="9.140625" defaultRowHeight="15" x14ac:dyDescent="0.25"/>
  <cols>
    <col min="1" max="1" width="1.140625" style="219" customWidth="1"/>
    <col min="2" max="2" width="21.140625" style="219" customWidth="1"/>
    <col min="3" max="3" width="10" style="219" customWidth="1"/>
    <col min="4" max="4" width="9.85546875" style="219" customWidth="1"/>
    <col min="5" max="5" width="9.7109375" style="219" customWidth="1"/>
    <col min="6" max="6" width="10.85546875" style="219" customWidth="1"/>
    <col min="7" max="7" width="11.140625" style="219" customWidth="1"/>
    <col min="8" max="8" width="11.5703125" style="219" customWidth="1"/>
    <col min="9" max="9" width="9" style="219" customWidth="1"/>
    <col min="10" max="10" width="8.28515625" style="219" customWidth="1"/>
    <col min="11" max="11" width="7.7109375" style="219" customWidth="1"/>
    <col min="12" max="12" width="9.7109375" style="219" customWidth="1"/>
    <col min="13" max="13" width="5.140625" style="219" customWidth="1"/>
    <col min="14" max="15" width="9.7109375" style="219" customWidth="1"/>
    <col min="16" max="16" width="9" style="219" customWidth="1"/>
    <col min="17" max="17" width="0.7109375" style="219" customWidth="1"/>
    <col min="18" max="18" width="26.42578125" style="219" customWidth="1"/>
    <col min="19" max="19" width="1" style="219" customWidth="1"/>
    <col min="20" max="20" width="2.85546875" style="219" customWidth="1"/>
    <col min="21" max="21" width="7.140625" style="359" customWidth="1"/>
    <col min="22" max="22" width="16.7109375" style="359" customWidth="1"/>
    <col min="23" max="25" width="7.140625" style="686" customWidth="1"/>
    <col min="26" max="26" width="13" style="686" customWidth="1"/>
    <col min="27" max="27" width="12" style="686" customWidth="1"/>
    <col min="28" max="28" width="14.140625" style="686" customWidth="1"/>
    <col min="29" max="33" width="7.140625" style="686" customWidth="1"/>
    <col min="34" max="34" width="3.85546875" style="687" customWidth="1"/>
    <col min="35" max="35" width="14.5703125" style="687" bestFit="1" customWidth="1"/>
    <col min="36" max="36" width="31.42578125" style="687" bestFit="1" customWidth="1"/>
    <col min="37" max="39" width="8" style="687" bestFit="1" customWidth="1"/>
    <col min="40" max="40" width="9.7109375" style="687" bestFit="1" customWidth="1"/>
    <col min="41" max="46" width="9.140625" style="687"/>
    <col min="47" max="51" width="9.140625" style="686"/>
    <col min="52" max="53" width="9.140625" style="359"/>
    <col min="54" max="16384" width="9.140625" style="219"/>
  </cols>
  <sheetData>
    <row r="1" spans="1:53" ht="4.5" customHeight="1" thickBot="1" x14ac:dyDescent="0.3"/>
    <row r="2" spans="1:53" ht="6" customHeight="1" x14ac:dyDescent="0.25">
      <c r="A2" s="688"/>
      <c r="B2" s="689"/>
      <c r="C2" s="689"/>
      <c r="D2" s="689"/>
      <c r="E2" s="689"/>
      <c r="F2" s="689"/>
      <c r="G2" s="689"/>
      <c r="H2" s="689"/>
      <c r="I2" s="689"/>
      <c r="J2" s="689"/>
      <c r="K2" s="689"/>
      <c r="L2" s="689"/>
      <c r="M2" s="689"/>
      <c r="N2" s="689"/>
      <c r="O2" s="689"/>
      <c r="P2" s="689"/>
      <c r="Q2" s="689"/>
      <c r="R2" s="689"/>
      <c r="S2" s="690"/>
    </row>
    <row r="3" spans="1:53" s="209" customFormat="1" ht="4.5" customHeight="1" x14ac:dyDescent="0.25">
      <c r="A3" s="691"/>
      <c r="B3" s="695"/>
      <c r="C3" s="695"/>
      <c r="D3" s="695"/>
      <c r="E3" s="695"/>
      <c r="F3" s="695"/>
      <c r="G3" s="695"/>
      <c r="H3" s="695"/>
      <c r="I3" s="695"/>
      <c r="J3" s="695"/>
      <c r="K3" s="695"/>
      <c r="L3" s="695"/>
      <c r="M3" s="695"/>
      <c r="N3" s="695"/>
      <c r="O3" s="695"/>
      <c r="P3" s="695"/>
      <c r="Q3" s="692"/>
      <c r="R3" s="692"/>
      <c r="S3" s="693"/>
      <c r="U3" s="360"/>
      <c r="V3" s="360"/>
      <c r="W3" s="694"/>
      <c r="X3" s="694"/>
      <c r="Y3" s="694"/>
      <c r="Z3" s="694"/>
      <c r="AA3" s="694"/>
      <c r="AB3" s="694"/>
      <c r="AC3" s="694"/>
      <c r="AD3" s="694"/>
      <c r="AE3" s="694"/>
      <c r="AF3" s="694"/>
      <c r="AG3" s="694"/>
      <c r="AH3" s="687"/>
      <c r="AI3" s="687"/>
      <c r="AJ3" s="687"/>
      <c r="AK3" s="687"/>
      <c r="AL3" s="687"/>
      <c r="AM3" s="687"/>
      <c r="AN3" s="687"/>
      <c r="AO3" s="687"/>
      <c r="AP3" s="687"/>
      <c r="AQ3" s="687"/>
      <c r="AR3" s="687"/>
      <c r="AS3" s="687"/>
      <c r="AT3" s="687"/>
      <c r="AU3" s="694"/>
      <c r="AV3" s="694"/>
      <c r="AW3" s="694"/>
      <c r="AX3" s="694"/>
      <c r="AY3" s="694"/>
      <c r="AZ3" s="360"/>
      <c r="BA3" s="360"/>
    </row>
    <row r="4" spans="1:53" s="209" customFormat="1" ht="26.25" customHeight="1" x14ac:dyDescent="0.25">
      <c r="A4" s="691"/>
      <c r="B4" s="844" t="s">
        <v>1612</v>
      </c>
      <c r="C4" s="844"/>
      <c r="D4" s="844"/>
      <c r="E4" s="844"/>
      <c r="F4" s="844"/>
      <c r="G4" s="844"/>
      <c r="H4" s="844"/>
      <c r="I4" s="844"/>
      <c r="J4" s="91"/>
      <c r="K4" s="91"/>
      <c r="L4" s="91"/>
      <c r="M4" s="91"/>
      <c r="N4" s="91"/>
      <c r="O4" s="91"/>
      <c r="P4" s="91"/>
      <c r="Q4" s="692"/>
      <c r="R4" s="692"/>
      <c r="S4" s="693"/>
      <c r="U4" s="360"/>
      <c r="V4" s="359"/>
      <c r="W4" s="686"/>
      <c r="X4" s="686"/>
      <c r="Y4" s="686"/>
      <c r="Z4" s="686"/>
      <c r="AA4" s="686"/>
      <c r="AB4" s="686"/>
      <c r="AC4" s="686"/>
      <c r="AD4" s="686"/>
      <c r="AE4" s="686"/>
      <c r="AF4" s="686"/>
      <c r="AG4" s="686"/>
      <c r="AH4" s="687"/>
      <c r="AI4" s="687"/>
      <c r="AJ4" s="687"/>
      <c r="AK4" s="687"/>
      <c r="AL4" s="687"/>
      <c r="AM4" s="687"/>
      <c r="AN4" s="687"/>
      <c r="AO4" s="687"/>
      <c r="AP4" s="687"/>
      <c r="AQ4" s="687"/>
      <c r="AR4" s="687"/>
      <c r="AS4" s="687"/>
      <c r="AT4" s="687"/>
      <c r="AU4" s="694"/>
      <c r="AV4" s="694"/>
      <c r="AW4" s="694"/>
      <c r="AX4" s="694"/>
      <c r="AY4" s="694"/>
      <c r="AZ4" s="360"/>
      <c r="BA4" s="360"/>
    </row>
    <row r="5" spans="1:53" s="406" customFormat="1" ht="23.25" customHeight="1" x14ac:dyDescent="0.25">
      <c r="A5" s="691"/>
      <c r="B5" s="845" t="s">
        <v>1752</v>
      </c>
      <c r="C5" s="845"/>
      <c r="D5" s="845"/>
      <c r="E5" s="845"/>
      <c r="F5" s="845"/>
      <c r="G5" s="845"/>
      <c r="H5" s="845"/>
      <c r="I5" s="845"/>
      <c r="J5" s="91"/>
      <c r="K5" s="91"/>
      <c r="L5" s="91"/>
      <c r="M5" s="91"/>
      <c r="N5" s="91"/>
      <c r="O5" s="91"/>
      <c r="P5" s="91"/>
      <c r="Q5" s="692"/>
      <c r="R5" s="692"/>
      <c r="S5" s="693"/>
      <c r="U5" s="224"/>
      <c r="V5" s="224"/>
      <c r="W5" s="686"/>
      <c r="X5" s="686"/>
      <c r="Y5" s="686"/>
      <c r="Z5" s="686"/>
      <c r="AA5" s="686"/>
      <c r="AB5" s="686"/>
      <c r="AC5" s="686"/>
      <c r="AD5" s="686"/>
      <c r="AE5" s="686"/>
      <c r="AF5" s="686"/>
      <c r="AG5" s="686"/>
      <c r="AH5" s="687"/>
      <c r="AI5" s="687"/>
      <c r="AJ5" s="687"/>
      <c r="AK5" s="687"/>
      <c r="AL5" s="687"/>
      <c r="AM5" s="687"/>
      <c r="AN5" s="687"/>
      <c r="AO5" s="687"/>
      <c r="AP5" s="687"/>
      <c r="AQ5" s="687"/>
      <c r="AR5" s="687"/>
      <c r="AS5" s="687"/>
      <c r="AT5" s="687"/>
      <c r="AU5" s="687"/>
      <c r="AV5" s="687"/>
      <c r="AW5" s="687"/>
      <c r="AX5" s="687"/>
      <c r="AY5" s="687"/>
      <c r="AZ5" s="224"/>
      <c r="BA5" s="224"/>
    </row>
    <row r="6" spans="1:53" ht="12" customHeight="1" x14ac:dyDescent="0.25">
      <c r="A6" s="696"/>
      <c r="B6" s="697"/>
      <c r="C6" s="697"/>
      <c r="D6" s="697"/>
      <c r="E6" s="697"/>
      <c r="F6" s="697"/>
      <c r="G6" s="697"/>
      <c r="H6" s="697"/>
      <c r="I6" s="697"/>
      <c r="J6" s="697"/>
      <c r="K6" s="697"/>
      <c r="L6" s="697"/>
      <c r="M6" s="266"/>
      <c r="N6" s="266"/>
      <c r="O6" s="266"/>
      <c r="P6" s="266"/>
      <c r="Q6" s="266"/>
      <c r="R6" s="266"/>
      <c r="S6" s="698"/>
      <c r="T6" s="699"/>
      <c r="U6" s="699"/>
      <c r="V6" s="699"/>
      <c r="W6" s="700"/>
      <c r="X6" s="700"/>
      <c r="Y6" s="700"/>
      <c r="Z6" s="700"/>
      <c r="AA6" s="700"/>
      <c r="AB6" s="700"/>
      <c r="AC6" s="700"/>
      <c r="AD6" s="700"/>
      <c r="AE6" s="700"/>
      <c r="AF6" s="700"/>
      <c r="AI6" s="687" t="s">
        <v>0</v>
      </c>
      <c r="AJ6" s="687" t="s">
        <v>1613</v>
      </c>
      <c r="AK6" s="687" t="s">
        <v>1614</v>
      </c>
      <c r="AL6" s="687" t="s">
        <v>1615</v>
      </c>
      <c r="AM6" s="687" t="s">
        <v>1616</v>
      </c>
    </row>
    <row r="7" spans="1:53" ht="12" customHeight="1" x14ac:dyDescent="0.25">
      <c r="A7" s="696"/>
      <c r="B7" s="697"/>
      <c r="C7" s="697"/>
      <c r="D7" s="697"/>
      <c r="E7" s="697"/>
      <c r="F7" s="697"/>
      <c r="G7" s="697"/>
      <c r="H7" s="697"/>
      <c r="I7" s="697"/>
      <c r="J7" s="697"/>
      <c r="K7" s="697"/>
      <c r="L7" s="697"/>
      <c r="M7" s="266"/>
      <c r="N7" s="266"/>
      <c r="O7" s="266"/>
      <c r="P7" s="266"/>
      <c r="Q7" s="266"/>
      <c r="R7" s="266"/>
      <c r="S7" s="701"/>
      <c r="AI7" s="687" t="s">
        <v>5</v>
      </c>
      <c r="AJ7" s="702" t="e">
        <f>SUMIFS([1]!CampList[Total],[1]!CampList[Township],$AI7,[1]!CampList[Status],"open",[1]!CampList[Total],"&lt;=100",[1]!CampList[Affected Population],"IDP")</f>
        <v>#REF!</v>
      </c>
      <c r="AK7" s="702" t="e">
        <f>SUMIFS([1]!CampList[Total],[1]!CampList[Township],$AI7,[1]!CampList[Status],"open",[1]!CampList[Total],"&gt;100",[1]!CampList[Total],"&lt;=1000",[1]!CampList[Affected Population],"IDP")</f>
        <v>#REF!</v>
      </c>
      <c r="AL7" s="702" t="e">
        <f>SUMIFS([1]!CampList[Total],[1]!CampList[Township],$AI7,[1]!CampList[Status],"open",[1]!CampList[Total],"&gt;1000",[1]!CampList[Total],"&lt;=5000",[1]!CampList[Affected Population],"IDP")</f>
        <v>#REF!</v>
      </c>
      <c r="AM7" s="702" t="e">
        <f>SUMIFS([1]!CampList[Total],[1]!CampList[Township],$AI7,[1]!CampList[Status],"open",[1]!CampList[Total],"&gt;5000",[1]!CampList[Total],"&lt;=100000",[1]!CampList[Affected Population],"IDP")</f>
        <v>#REF!</v>
      </c>
    </row>
    <row r="8" spans="1:53" ht="12" customHeight="1" x14ac:dyDescent="0.25">
      <c r="A8" s="696"/>
      <c r="B8" s="697"/>
      <c r="C8" s="697"/>
      <c r="D8" s="697"/>
      <c r="E8" s="697"/>
      <c r="F8" s="697"/>
      <c r="G8" s="697"/>
      <c r="H8" s="697"/>
      <c r="I8" s="697"/>
      <c r="J8" s="697"/>
      <c r="K8" s="697"/>
      <c r="L8" s="697"/>
      <c r="M8" s="266"/>
      <c r="N8" s="266"/>
      <c r="O8" s="266"/>
      <c r="P8" s="266"/>
      <c r="Q8" s="266"/>
      <c r="R8" s="266"/>
      <c r="S8" s="701"/>
      <c r="AI8" s="687" t="s">
        <v>27</v>
      </c>
      <c r="AJ8" s="702" t="e">
        <f>SUMIFS([1]!CampList[Total],[1]!CampList[Township],$AI8,[1]!CampList[Status],"open",[1]!CampList[Total],"&lt;=100",[1]!CampList[Affected Population],"IDP")</f>
        <v>#REF!</v>
      </c>
      <c r="AK8" s="702" t="e">
        <f>SUMIFS([1]!CampList[Total],[1]!CampList[Township],$AI8,[1]!CampList[Status],"open",[1]!CampList[Total],"&gt;100",[1]!CampList[Total],"&lt;=1000",[1]!CampList[Affected Population],"IDP")</f>
        <v>#REF!</v>
      </c>
      <c r="AL8" s="702" t="e">
        <f>SUMIFS([1]!CampList[Total],[1]!CampList[Township],$AI8,[1]!CampList[Status],"open",[1]!CampList[Total],"&gt;1000",[1]!CampList[Total],"&lt;=5000",[1]!CampList[Affected Population],"IDP")</f>
        <v>#REF!</v>
      </c>
      <c r="AM8" s="702" t="e">
        <f>SUMIFS([1]!CampList[Total],[1]!CampList[Township],$AI8,[1]!CampList[Status],"open",[1]!CampList[Total],"&gt;5000",[1]!CampList[Total],"&lt;=100000",[1]!CampList[Affected Population],"IDP")</f>
        <v>#REF!</v>
      </c>
    </row>
    <row r="9" spans="1:53" ht="12" customHeight="1" x14ac:dyDescent="0.25">
      <c r="A9" s="696"/>
      <c r="B9" s="697"/>
      <c r="C9" s="697"/>
      <c r="D9" s="697"/>
      <c r="E9" s="697"/>
      <c r="F9" s="697"/>
      <c r="G9" s="697"/>
      <c r="H9" s="697"/>
      <c r="I9" s="697"/>
      <c r="J9" s="697"/>
      <c r="K9" s="697"/>
      <c r="L9" s="697"/>
      <c r="M9" s="266"/>
      <c r="N9" s="266"/>
      <c r="O9" s="266"/>
      <c r="P9" s="266"/>
      <c r="Q9" s="266"/>
      <c r="R9" s="266"/>
      <c r="S9" s="701"/>
      <c r="AJ9" s="702" t="e">
        <f>SUMIFS([1]!CampList[Total],[1]!CampList[Township],$AI9,[1]!CampList[Status],"open",[1]!CampList[Total],"&lt;=100",[1]!CampList[Affected Population],"IDP")</f>
        <v>#REF!</v>
      </c>
      <c r="AK9" s="702" t="e">
        <f>SUMIFS([1]!CampList[Total],[1]!CampList[Township],$AI9,[1]!CampList[Status],"open",[1]!CampList[Total],"&gt;100",[1]!CampList[Total],"&lt;=1000",[1]!CampList[Affected Population],"IDP")</f>
        <v>#REF!</v>
      </c>
      <c r="AL9" s="702" t="e">
        <f>SUMIFS([1]!CampList[Total],[1]!CampList[Township],$AI9,[1]!CampList[Status],"open",[1]!CampList[Total],"&gt;1000",[1]!CampList[Total],"&lt;=5000",[1]!CampList[Affected Population],"IDP")</f>
        <v>#REF!</v>
      </c>
      <c r="AM9" s="702" t="e">
        <f>SUMIFS([1]!CampList[Total],[1]!CampList[Township],$AI9,[1]!CampList[Status],"open",[1]!CampList[Total],"&gt;5000",[1]!CampList[Total],"&lt;=100000",[1]!CampList[Affected Population],"IDP")</f>
        <v>#REF!</v>
      </c>
    </row>
    <row r="10" spans="1:53" ht="12" customHeight="1" x14ac:dyDescent="0.25">
      <c r="A10" s="696"/>
      <c r="B10" s="697"/>
      <c r="C10" s="697"/>
      <c r="D10" s="697"/>
      <c r="E10" s="697"/>
      <c r="F10" s="697"/>
      <c r="G10" s="697"/>
      <c r="H10" s="697"/>
      <c r="I10" s="697"/>
      <c r="J10" s="697"/>
      <c r="K10" s="697"/>
      <c r="L10" s="697"/>
      <c r="M10" s="266"/>
      <c r="N10" s="266"/>
      <c r="O10" s="266"/>
      <c r="P10" s="266"/>
      <c r="Q10" s="266"/>
      <c r="R10" s="266"/>
      <c r="S10" s="701"/>
      <c r="AJ10" s="702" t="e">
        <f>SUMIFS([1]!CampList[Total],[1]!CampList[Township],$AI10,[1]!CampList[Status],"open",[1]!CampList[Total],"&lt;=100",[1]!CampList[Affected Population],"IDP")</f>
        <v>#REF!</v>
      </c>
      <c r="AK10" s="702" t="e">
        <f>SUMIFS([1]!CampList[Total],[1]!CampList[Township],$AI10,[1]!CampList[Status],"open",[1]!CampList[Total],"&gt;100",[1]!CampList[Total],"&lt;=1000",[1]!CampList[Affected Population],"IDP")</f>
        <v>#REF!</v>
      </c>
      <c r="AL10" s="702" t="e">
        <f>SUMIFS([1]!CampList[Total],[1]!CampList[Township],$AI10,[1]!CampList[Status],"open",[1]!CampList[Total],"&gt;1000",[1]!CampList[Total],"&lt;=5000",[1]!CampList[Affected Population],"IDP")</f>
        <v>#REF!</v>
      </c>
      <c r="AM10" s="702" t="e">
        <f>SUMIFS([1]!CampList[Total],[1]!CampList[Township],$AI10,[1]!CampList[Status],"open",[1]!CampList[Total],"&gt;5000",[1]!CampList[Total],"&lt;=100000",[1]!CampList[Affected Population],"IDP")</f>
        <v>#REF!</v>
      </c>
    </row>
    <row r="11" spans="1:53" ht="8.25" customHeight="1" x14ac:dyDescent="0.25">
      <c r="A11" s="696"/>
      <c r="B11" s="697"/>
      <c r="C11" s="697"/>
      <c r="D11" s="697"/>
      <c r="E11" s="697"/>
      <c r="F11" s="697"/>
      <c r="G11" s="697"/>
      <c r="H11" s="697"/>
      <c r="I11" s="697"/>
      <c r="J11" s="697"/>
      <c r="K11" s="697"/>
      <c r="L11" s="697"/>
      <c r="M11" s="266"/>
      <c r="N11" s="266"/>
      <c r="O11" s="266"/>
      <c r="P11" s="266"/>
      <c r="Q11" s="266"/>
      <c r="R11" s="266"/>
      <c r="S11" s="701"/>
      <c r="AI11" s="687" t="s">
        <v>481</v>
      </c>
      <c r="AJ11" s="702" t="e">
        <f>SUMIFS([1]!CampList[Total],[1]!CampList[Township],$AI11,[1]!CampList[Status],"open",[1]!CampList[Total],"&lt;=100",[1]!CampList[Affected Population],"IDP")</f>
        <v>#REF!</v>
      </c>
      <c r="AK11" s="702" t="e">
        <f>SUMIFS([1]!CampList[Total],[1]!CampList[Township],$AI11,[1]!CampList[Status],"open",[1]!CampList[Total],"&gt;100",[1]!CampList[Total],"&lt;=1000",[1]!CampList[Affected Population],"IDP")</f>
        <v>#REF!</v>
      </c>
      <c r="AL11" s="702" t="e">
        <f>SUMIFS([1]!CampList[Total],[1]!CampList[Township],$AI11,[1]!CampList[Status],"open",[1]!CampList[Total],"&gt;1000",[1]!CampList[Total],"&lt;=5000",[1]!CampList[Affected Population],"IDP")</f>
        <v>#REF!</v>
      </c>
      <c r="AM11" s="702" t="e">
        <f>SUMIFS([1]!CampList[Total],[1]!CampList[Township],$AI11,[1]!CampList[Status],"open",[1]!CampList[Total],"&gt;5000",[1]!CampList[Total],"&lt;=100000",[1]!CampList[Affected Population],"IDP")</f>
        <v>#REF!</v>
      </c>
    </row>
    <row r="12" spans="1:53" ht="8.25" customHeight="1" x14ac:dyDescent="0.25">
      <c r="A12" s="696"/>
      <c r="B12" s="697"/>
      <c r="C12" s="697"/>
      <c r="D12" s="697"/>
      <c r="E12" s="697"/>
      <c r="F12" s="697"/>
      <c r="G12" s="697"/>
      <c r="H12" s="697"/>
      <c r="I12" s="697"/>
      <c r="J12" s="697"/>
      <c r="K12" s="697"/>
      <c r="L12" s="697"/>
      <c r="M12" s="266"/>
      <c r="N12" s="266"/>
      <c r="O12" s="266"/>
      <c r="P12" s="266"/>
      <c r="Q12" s="266"/>
      <c r="R12" s="266"/>
      <c r="S12" s="701"/>
      <c r="AI12" s="687" t="s">
        <v>720</v>
      </c>
      <c r="AJ12" s="702" t="e">
        <f>SUMIFS([1]!CampList[Total],[1]!CampList[Township],$AI12,[1]!CampList[Status],"open",[1]!CampList[Total],"&lt;=100",[1]!CampList[Affected Population],"IDP")</f>
        <v>#REF!</v>
      </c>
      <c r="AK12" s="702" t="e">
        <f>SUMIFS([1]!CampList[Total],[1]!CampList[Township],$AI12,[1]!CampList[Status],"open",[1]!CampList[Total],"&gt;100",[1]!CampList[Total],"&lt;=1000",[1]!CampList[Affected Population],"IDP")</f>
        <v>#REF!</v>
      </c>
      <c r="AL12" s="702" t="e">
        <f>SUMIFS([1]!CampList[Total],[1]!CampList[Township],$AI12,[1]!CampList[Status],"open",[1]!CampList[Total],"&gt;1000",[1]!CampList[Total],"&lt;=5000",[1]!CampList[Affected Population],"IDP")</f>
        <v>#REF!</v>
      </c>
      <c r="AM12" s="702" t="e">
        <f>SUMIFS([1]!CampList[Total],[1]!CampList[Township],$AI12,[1]!CampList[Status],"open",[1]!CampList[Total],"&gt;5000",[1]!CampList[Total],"&lt;=100000",[1]!CampList[Affected Population],"IDP")</f>
        <v>#REF!</v>
      </c>
    </row>
    <row r="13" spans="1:53" ht="18.75" customHeight="1" x14ac:dyDescent="0.25">
      <c r="A13" s="696"/>
      <c r="B13" s="348" t="s">
        <v>1178</v>
      </c>
      <c r="C13" s="349" t="s">
        <v>1617</v>
      </c>
      <c r="D13" s="349" t="s">
        <v>1618</v>
      </c>
      <c r="E13" s="349" t="s">
        <v>1047</v>
      </c>
      <c r="F13" s="697"/>
      <c r="G13" s="697"/>
      <c r="H13" s="697"/>
      <c r="I13" s="697"/>
      <c r="J13" s="697"/>
      <c r="K13" s="697"/>
      <c r="L13" s="697"/>
      <c r="M13" s="266"/>
      <c r="N13" s="266"/>
      <c r="O13" s="266"/>
      <c r="P13" s="266"/>
      <c r="Q13" s="266"/>
      <c r="R13" s="266"/>
      <c r="S13" s="701"/>
      <c r="AJ13" s="702" t="e">
        <f>SUMIFS([1]!CampList[Total],[1]!CampList[Township],$AI13,[1]!CampList[Status],"open",[1]!CampList[Total],"&lt;=100",[1]!CampList[Affected Population],"IDP")</f>
        <v>#REF!</v>
      </c>
      <c r="AK13" s="702" t="e">
        <f>SUMIFS([1]!CampList[Total],[1]!CampList[Township],$AI13,[1]!CampList[Status],"open",[1]!CampList[Total],"&gt;100",[1]!CampList[Total],"&lt;=1000",[1]!CampList[Affected Population],"IDP")</f>
        <v>#REF!</v>
      </c>
      <c r="AL13" s="702" t="e">
        <f>SUMIFS([1]!CampList[Total],[1]!CampList[Township],$AI13,[1]!CampList[Status],"open",[1]!CampList[Total],"&gt;1000",[1]!CampList[Total],"&lt;=5000",[1]!CampList[Affected Population],"IDP")</f>
        <v>#REF!</v>
      </c>
      <c r="AM13" s="702" t="e">
        <f>SUMIFS([1]!CampList[Total],[1]!CampList[Township],$AI13,[1]!CampList[Status],"open",[1]!CampList[Total],"&gt;5000",[1]!CampList[Total],"&lt;=100000",[1]!CampList[Affected Population],"IDP")</f>
        <v>#REF!</v>
      </c>
    </row>
    <row r="14" spans="1:53" ht="18.75" customHeight="1" x14ac:dyDescent="0.25">
      <c r="A14" s="696"/>
      <c r="B14" s="350" t="s">
        <v>378</v>
      </c>
      <c r="C14" s="351"/>
      <c r="D14" s="351"/>
      <c r="E14" s="351"/>
      <c r="F14" s="266"/>
      <c r="G14" s="266"/>
      <c r="H14" s="266"/>
      <c r="I14" s="266"/>
      <c r="J14" s="266"/>
      <c r="K14" s="266"/>
      <c r="L14" s="266"/>
      <c r="M14" s="266"/>
      <c r="N14" s="266"/>
      <c r="O14" s="266"/>
      <c r="P14" s="266"/>
      <c r="Q14" s="703"/>
      <c r="R14" s="266"/>
      <c r="S14" s="701"/>
      <c r="AI14" s="704" t="s">
        <v>361</v>
      </c>
      <c r="AJ14" s="702" t="e">
        <f>SUMIFS([1]!CampList[Total],[1]!CampList[Township],$AI14,[1]!CampList[Status],"open",[1]!CampList[Total],"&lt;=100",[1]!CampList[Affected Population],"IDP")</f>
        <v>#REF!</v>
      </c>
      <c r="AK14" s="702" t="e">
        <f>SUMIFS([1]!CampList[Total],[1]!CampList[Township],$AI14,[1]!CampList[Status],"open",[1]!CampList[Total],"&gt;100",[1]!CampList[Total],"&lt;=1000",[1]!CampList[Affected Population],"IDP")</f>
        <v>#REF!</v>
      </c>
      <c r="AL14" s="702" t="e">
        <f>SUMIFS([1]!CampList[Total],[1]!CampList[Township],$AI14,[1]!CampList[Status],"open",[1]!CampList[Total],"&gt;1000",[1]!CampList[Total],"&lt;=5000",[1]!CampList[Affected Population],"IDP")</f>
        <v>#REF!</v>
      </c>
      <c r="AM14" s="702" t="e">
        <f>SUMIFS([1]!CampList[Total],[1]!CampList[Township],$AI14,[1]!CampList[Status],"open",[1]!CampList[Total],"&gt;5000",[1]!CampList[Total],"&lt;=100000",[1]!CampList[Affected Population],"IDP")</f>
        <v>#REF!</v>
      </c>
    </row>
    <row r="15" spans="1:53" ht="12.95" customHeight="1" x14ac:dyDescent="0.25">
      <c r="A15" s="696"/>
      <c r="B15" s="352" t="s">
        <v>5</v>
      </c>
      <c r="C15" s="705">
        <f>SUMIFS(CampList[HH],CampList[Township],$B15,CampList[Status],"open",CampList[Affected Population],"IDP", CampList[State],"Kachin")</f>
        <v>1484</v>
      </c>
      <c r="D15" s="705">
        <f>SUMIFS(CampList[Total],CampList[Township],$B15,CampList[Status],"open",CampList[Affected Population],"IDP", CampList[State],"Kachin")</f>
        <v>8306</v>
      </c>
      <c r="E15" s="353">
        <f>COUNTIFS(CampList[Township],$B15,CampList[Status],"open",CampList[Affected Population],"IDP",CampList[State],"Kachin")</f>
        <v>11</v>
      </c>
      <c r="F15" s="266"/>
      <c r="G15" s="706"/>
      <c r="H15" s="266"/>
      <c r="I15" s="266"/>
      <c r="J15" s="266"/>
      <c r="K15" s="266"/>
      <c r="L15" s="266"/>
      <c r="M15" s="266"/>
      <c r="N15" s="266"/>
      <c r="O15" s="266"/>
      <c r="P15" s="266"/>
      <c r="Q15" s="703"/>
      <c r="R15" s="266"/>
      <c r="S15" s="701"/>
      <c r="AI15" s="687" t="s">
        <v>144</v>
      </c>
      <c r="AJ15" s="702" t="e">
        <f>SUMIFS([1]!CampList[Total],[1]!CampList[Township],$AI15,[1]!CampList[Status],"open",[1]!CampList[Total],"&lt;=100",[1]!CampList[Affected Population],"IDP")</f>
        <v>#REF!</v>
      </c>
      <c r="AK15" s="702" t="e">
        <f>SUMIFS([1]!CampList[Total],[1]!CampList[Township],$AI15,[1]!CampList[Status],"open",[1]!CampList[Total],"&gt;100",[1]!CampList[Total],"&lt;=1000",[1]!CampList[Affected Population],"IDP")</f>
        <v>#REF!</v>
      </c>
      <c r="AL15" s="702" t="e">
        <f>SUMIFS([1]!CampList[Total],[1]!CampList[Township],$AI15,[1]!CampList[Status],"open",[1]!CampList[Total],"&gt;1000",[1]!CampList[Total],"&lt;=5000",[1]!CampList[Affected Population],"IDP")</f>
        <v>#REF!</v>
      </c>
      <c r="AM15" s="702" t="e">
        <f>SUMIFS([1]!CampList[Total],[1]!CampList[Township],$AI15,[1]!CampList[Status],"open",[1]!CampList[Total],"&gt;5000",[1]!CampList[Total],"&lt;=100000",[1]!CampList[Affected Population],"IDP")</f>
        <v>#REF!</v>
      </c>
    </row>
    <row r="16" spans="1:53" ht="12.95" customHeight="1" x14ac:dyDescent="0.25">
      <c r="A16" s="696"/>
      <c r="B16" s="352" t="s">
        <v>27</v>
      </c>
      <c r="C16" s="705">
        <f>SUMIFS(CampList[HH],CampList[Township],$B16,CampList[Status],"open",CampList[Affected Population],"IDP", CampList[State],"Kachin")</f>
        <v>497</v>
      </c>
      <c r="D16" s="705">
        <f>SUMIFS(CampList[Total],CampList[Township],$B16,CampList[Status],"open",CampList[Affected Population],"IDP", CampList[State],"Kachin")</f>
        <v>2569</v>
      </c>
      <c r="E16" s="353">
        <f>COUNTIFS(CampList[Township],$B16,CampList[Status],"open",CampList[Affected Population],"IDP",CampList[State],"Kachin")</f>
        <v>5</v>
      </c>
      <c r="F16" s="266"/>
      <c r="G16" s="706"/>
      <c r="H16" s="266"/>
      <c r="I16" s="266"/>
      <c r="J16" s="266"/>
      <c r="K16" s="266"/>
      <c r="L16" s="266"/>
      <c r="M16" s="266"/>
      <c r="N16" s="266"/>
      <c r="O16" s="266"/>
      <c r="P16" s="266"/>
      <c r="Q16" s="266"/>
      <c r="R16" s="266"/>
      <c r="S16" s="701"/>
      <c r="AI16" s="687" t="s">
        <v>146</v>
      </c>
      <c r="AJ16" s="702" t="e">
        <f>SUMIFS([1]!CampList[Total],[1]!CampList[Township],$AI16,[1]!CampList[Status],"open",[1]!CampList[Total],"&lt;=100",[1]!CampList[Affected Population],"IDP")</f>
        <v>#REF!</v>
      </c>
      <c r="AK16" s="702" t="e">
        <f>SUMIFS([1]!CampList[Total],[1]!CampList[Township],$AI16,[1]!CampList[Status],"open",[1]!CampList[Total],"&gt;100",[1]!CampList[Total],"&lt;=1000",[1]!CampList[Affected Population],"IDP")</f>
        <v>#REF!</v>
      </c>
      <c r="AL16" s="702" t="e">
        <f>SUMIFS([1]!CampList[Total],[1]!CampList[Township],$AI16,[1]!CampList[Status],"open",[1]!CampList[Total],"&gt;1000",[1]!CampList[Total],"&lt;=5000",[1]!CampList[Affected Population],"IDP")</f>
        <v>#REF!</v>
      </c>
      <c r="AM16" s="702" t="e">
        <f>SUMIFS([1]!CampList[Total],[1]!CampList[Township],$AI16,[1]!CampList[Status],"open",[1]!CampList[Total],"&gt;5000",[1]!CampList[Total],"&lt;=100000",[1]!CampList[Affected Population],"IDP")</f>
        <v>#REF!</v>
      </c>
    </row>
    <row r="17" spans="1:42" ht="12.95" customHeight="1" x14ac:dyDescent="0.25">
      <c r="A17" s="696"/>
      <c r="B17" s="352" t="s">
        <v>481</v>
      </c>
      <c r="C17" s="705">
        <f>SUMIFS(CampList[HH],CampList[Township],$B17,CampList[Status],"open",CampList[Affected Population],"IDP", CampList[State],"Kachin")</f>
        <v>716</v>
      </c>
      <c r="D17" s="705">
        <f>SUMIFS(CampList[Total],CampList[Township],$B17,CampList[Status],"open",CampList[Affected Population],"IDP", CampList[State],"Kachin")</f>
        <v>3590</v>
      </c>
      <c r="E17" s="353">
        <f>COUNTIFS(CampList[Township],$B17,CampList[Status],"open",CampList[Affected Population],"IDP",CampList[State],"Kachin")</f>
        <v>22</v>
      </c>
      <c r="F17" s="266"/>
      <c r="G17" s="706"/>
      <c r="H17" s="266"/>
      <c r="I17" s="266"/>
      <c r="J17" s="266"/>
      <c r="K17" s="266"/>
      <c r="L17" s="266"/>
      <c r="M17" s="266"/>
      <c r="N17" s="266"/>
      <c r="O17" s="266"/>
      <c r="P17" s="266"/>
      <c r="Q17" s="266"/>
      <c r="R17" s="266"/>
      <c r="S17" s="701"/>
      <c r="AI17" s="687" t="s">
        <v>819</v>
      </c>
      <c r="AJ17" s="702" t="e">
        <f>SUMIFS([1]!CampList[Total],[1]!CampList[Township],$AI17,[1]!CampList[Status],"open",[1]!CampList[Total],"&lt;=100",[1]!CampList[Affected Population],"IDP")</f>
        <v>#REF!</v>
      </c>
      <c r="AK17" s="702" t="e">
        <f>SUMIFS([1]!CampList[Total],[1]!CampList[Township],$AI17,[1]!CampList[Status],"open",[1]!CampList[Total],"&gt;100",[1]!CampList[Total],"&lt;=1000",[1]!CampList[Affected Population],"IDP")</f>
        <v>#REF!</v>
      </c>
      <c r="AL17" s="702" t="e">
        <f>SUMIFS([1]!CampList[Total],[1]!CampList[Township],$AI17,[1]!CampList[Status],"open",[1]!CampList[Total],"&gt;1000",[1]!CampList[Total],"&lt;=5000",[1]!CampList[Affected Population],"IDP")</f>
        <v>#REF!</v>
      </c>
      <c r="AM17" s="702" t="e">
        <f>SUMIFS([1]!CampList[Total],[1]!CampList[Township],$AI17,[1]!CampList[Status],"open",[1]!CampList[Total],"&gt;5000",[1]!CampList[Total],"&lt;=100000",[1]!CampList[Affected Population],"IDP")</f>
        <v>#REF!</v>
      </c>
    </row>
    <row r="18" spans="1:42" ht="12.95" customHeight="1" x14ac:dyDescent="0.25">
      <c r="A18" s="696"/>
      <c r="B18" s="352" t="s">
        <v>361</v>
      </c>
      <c r="C18" s="705">
        <f>SUMIFS(CampList[HH],CampList[Township],$B18,CampList[Status],"open",CampList[Affected Population],"IDP", CampList[State],"Kachin")</f>
        <v>0</v>
      </c>
      <c r="D18" s="705">
        <f>SUMIFS(CampList[Total],CampList[Township],$B18,CampList[Status],"open",CampList[Affected Population],"IDP", CampList[State],"Kachin")</f>
        <v>0</v>
      </c>
      <c r="E18" s="353">
        <f>COUNTIFS(CampList[Township],$B18,CampList[Status],"open",CampList[Affected Population],"IDP",CampList[State],"Kachin")</f>
        <v>0</v>
      </c>
      <c r="F18" s="266"/>
      <c r="G18" s="266"/>
      <c r="H18" s="266"/>
      <c r="I18" s="266"/>
      <c r="J18" s="266"/>
      <c r="K18" s="266"/>
      <c r="L18" s="266"/>
      <c r="M18" s="266"/>
      <c r="N18" s="266"/>
      <c r="O18" s="266"/>
      <c r="P18" s="266"/>
      <c r="Q18" s="266"/>
      <c r="R18" s="266"/>
      <c r="S18" s="701"/>
      <c r="AI18" s="687" t="s">
        <v>151</v>
      </c>
      <c r="AJ18" s="702" t="e">
        <f>SUMIFS([1]!CampList[Total],[1]!CampList[Township],$AI18,[1]!CampList[Status],"open",[1]!CampList[Total],"&lt;=100",[1]!CampList[Affected Population],"IDP")</f>
        <v>#REF!</v>
      </c>
      <c r="AK18" s="702" t="e">
        <f>SUMIFS([1]!CampList[Total],[1]!CampList[Township],$AI18,[1]!CampList[Status],"open",[1]!CampList[Total],"&gt;100",[1]!CampList[Total],"&lt;=1000",[1]!CampList[Affected Population],"IDP")</f>
        <v>#REF!</v>
      </c>
      <c r="AL18" s="702" t="e">
        <f>SUMIFS([1]!CampList[Total],[1]!CampList[Township],$AI18,[1]!CampList[Status],"open",[1]!CampList[Total],"&gt;1000",[1]!CampList[Total],"&lt;=5000",[1]!CampList[Affected Population],"IDP")</f>
        <v>#REF!</v>
      </c>
      <c r="AM18" s="702" t="e">
        <f>SUMIFS([1]!CampList[Total],[1]!CampList[Township],$AI18,[1]!CampList[Status],"open",[1]!CampList[Total],"&gt;5000",[1]!CampList[Total],"&lt;=100000",[1]!CampList[Affected Population],"IDP")</f>
        <v>#REF!</v>
      </c>
      <c r="AP18" s="211"/>
    </row>
    <row r="19" spans="1:42" ht="12.95" customHeight="1" x14ac:dyDescent="0.25">
      <c r="A19" s="696"/>
      <c r="B19" s="352" t="s">
        <v>144</v>
      </c>
      <c r="C19" s="705">
        <f>SUMIFS(CampList[HH],CampList[Township],$B19,CampList[Status],"open",CampList[Affected Population],"IDP", CampList[State],"Kachin")</f>
        <v>0</v>
      </c>
      <c r="D19" s="705">
        <f>SUMIFS(CampList[Total],CampList[Township],$B19,CampList[Status],"open",CampList[Affected Population],"IDP", CampList[State],"Kachin")</f>
        <v>0</v>
      </c>
      <c r="E19" s="353">
        <f>COUNTIFS(CampList[Township],$B19,CampList[Status],"open",CampList[Affected Population],"IDP",CampList[State],"Kachin")</f>
        <v>0</v>
      </c>
      <c r="F19" s="266"/>
      <c r="G19" s="266"/>
      <c r="H19" s="266"/>
      <c r="I19" s="266"/>
      <c r="J19" s="266"/>
      <c r="K19" s="266"/>
      <c r="L19" s="266"/>
      <c r="M19" s="266"/>
      <c r="N19" s="266"/>
      <c r="O19" s="266"/>
      <c r="P19" s="266"/>
      <c r="Q19" s="266"/>
      <c r="R19" s="266"/>
      <c r="S19" s="701"/>
      <c r="T19" s="219">
        <f>V25</f>
        <v>0</v>
      </c>
      <c r="AI19" s="687" t="s">
        <v>166</v>
      </c>
      <c r="AJ19" s="702" t="e">
        <f>SUMIFS([1]!CampList[Total],[1]!CampList[Township],$AI19,[1]!CampList[Status],"open",[1]!CampList[Total],"&lt;=100",[1]!CampList[Affected Population],"IDP")</f>
        <v>#REF!</v>
      </c>
      <c r="AK19" s="702" t="e">
        <f>SUMIFS([1]!CampList[Total],[1]!CampList[Township],$AI19,[1]!CampList[Status],"open",[1]!CampList[Total],"&gt;100",[1]!CampList[Total],"&lt;=1000",[1]!CampList[Affected Population],"IDP")</f>
        <v>#REF!</v>
      </c>
      <c r="AL19" s="702" t="e">
        <f>SUMIFS([1]!CampList[Total],[1]!CampList[Township],$AI19,[1]!CampList[Status],"open",[1]!CampList[Total],"&gt;1000",[1]!CampList[Total],"&lt;=5000",[1]!CampList[Affected Population],"IDP")</f>
        <v>#REF!</v>
      </c>
      <c r="AM19" s="702" t="e">
        <f>SUMIFS([1]!CampList[Total],[1]!CampList[Township],$AI19,[1]!CampList[Status],"open",[1]!CampList[Total],"&gt;5000",[1]!CampList[Total],"&lt;=100000",[1]!CampList[Affected Population],"IDP")</f>
        <v>#REF!</v>
      </c>
      <c r="AP19" s="211"/>
    </row>
    <row r="20" spans="1:42" ht="12.95" customHeight="1" x14ac:dyDescent="0.25">
      <c r="A20" s="696"/>
      <c r="B20" s="352" t="s">
        <v>819</v>
      </c>
      <c r="C20" s="705">
        <f>SUMIFS(CampList[HH],CampList[Township],$B20,CampList[Status],"open",CampList[Affected Population],"IDP", CampList[State],"Kachin")</f>
        <v>0</v>
      </c>
      <c r="D20" s="705">
        <f>SUMIFS(CampList[Total],CampList[Township],$B20,CampList[Status],"open",CampList[Affected Population],"IDP", CampList[State],"Kachin")</f>
        <v>0</v>
      </c>
      <c r="E20" s="353">
        <f>COUNTIFS(CampList[Township],$B20,CampList[Status],"open",CampList[Affected Population],"IDP",CampList[State],"Kachin")</f>
        <v>0</v>
      </c>
      <c r="F20" s="266"/>
      <c r="G20" s="266"/>
      <c r="H20" s="266"/>
      <c r="I20" s="266"/>
      <c r="J20" s="266"/>
      <c r="K20" s="266"/>
      <c r="L20" s="266"/>
      <c r="M20" s="266"/>
      <c r="N20" s="266"/>
      <c r="O20" s="266"/>
      <c r="P20" s="266"/>
      <c r="Q20" s="266"/>
      <c r="R20" s="266"/>
      <c r="S20" s="701"/>
      <c r="U20" s="707"/>
      <c r="AI20" s="687" t="s">
        <v>173</v>
      </c>
      <c r="AJ20" s="702" t="e">
        <f>SUMIFS([1]!CampList[Total],[1]!CampList[Township],$AI20,[1]!CampList[Status],"open",[1]!CampList[Total],"&lt;=100",[1]!CampList[Affected Population],"IDP")</f>
        <v>#REF!</v>
      </c>
      <c r="AK20" s="702" t="e">
        <f>SUMIFS([1]!CampList[Total],[1]!CampList[Township],$AI20,[1]!CampList[Status],"open",[1]!CampList[Total],"&gt;100",[1]!CampList[Total],"&lt;=1000",[1]!CampList[Affected Population],"IDP")</f>
        <v>#REF!</v>
      </c>
      <c r="AL20" s="702" t="e">
        <f>SUMIFS([1]!CampList[Total],[1]!CampList[Township],$AI20,[1]!CampList[Status],"open",[1]!CampList[Total],"&gt;1000",[1]!CampList[Total],"&lt;=5000",[1]!CampList[Affected Population],"IDP")</f>
        <v>#REF!</v>
      </c>
      <c r="AM20" s="702" t="e">
        <f>SUMIFS([1]!CampList[Total],[1]!CampList[Township],$AI20,[1]!CampList[Status],"open",[1]!CampList[Total],"&gt;5000",[1]!CampList[Total],"&lt;=100000",[1]!CampList[Affected Population],"IDP")</f>
        <v>#REF!</v>
      </c>
      <c r="AP20" s="211"/>
    </row>
    <row r="21" spans="1:42" ht="12.95" customHeight="1" x14ac:dyDescent="0.25">
      <c r="A21" s="696"/>
      <c r="B21" s="352" t="s">
        <v>151</v>
      </c>
      <c r="C21" s="705">
        <f>SUMIFS(CampList[HH],CampList[Township],$B21,CampList[Status],"open",CampList[Affected Population],"IDP", CampList[State],"Kachin")</f>
        <v>2755</v>
      </c>
      <c r="D21" s="705">
        <f>SUMIFS(CampList[Total],CampList[Township],$B21,CampList[Status],"open",CampList[Affected Population],"IDP", CampList[State],"Kachin")</f>
        <v>12961</v>
      </c>
      <c r="E21" s="353">
        <f>COUNTIFS(CampList[Township],$B21,CampList[Status],"open",CampList[Affected Population],"IDP",CampList[State],"Kachin")</f>
        <v>11</v>
      </c>
      <c r="F21" s="266"/>
      <c r="G21" s="266"/>
      <c r="H21" s="266"/>
      <c r="I21" s="266"/>
      <c r="J21" s="266"/>
      <c r="K21" s="266"/>
      <c r="L21" s="266"/>
      <c r="M21" s="266"/>
      <c r="N21" s="266"/>
      <c r="O21" s="266"/>
      <c r="P21" s="266"/>
      <c r="Q21" s="266"/>
      <c r="R21" s="266"/>
      <c r="S21" s="701"/>
      <c r="AI21" s="687" t="s">
        <v>180</v>
      </c>
      <c r="AJ21" s="702" t="e">
        <f>SUMIFS([1]!CampList[Total],[1]!CampList[Township],$AI21,[1]!CampList[Status],"open",[1]!CampList[Total],"&lt;=100",[1]!CampList[Affected Population],"IDP")</f>
        <v>#REF!</v>
      </c>
      <c r="AK21" s="702" t="e">
        <f>SUMIFS([1]!CampList[Total],[1]!CampList[Township],$AI21,[1]!CampList[Status],"open",[1]!CampList[Total],"&gt;100",[1]!CampList[Total],"&lt;=1000",[1]!CampList[Affected Population],"IDP")</f>
        <v>#REF!</v>
      </c>
      <c r="AL21" s="702" t="e">
        <f>SUMIFS([1]!CampList[Total],[1]!CampList[Township],$AI21,[1]!CampList[Status],"open",[1]!CampList[Total],"&gt;1000",[1]!CampList[Total],"&lt;=5000",[1]!CampList[Affected Population],"IDP")</f>
        <v>#REF!</v>
      </c>
      <c r="AM21" s="702" t="e">
        <f>SUMIFS([1]!CampList[Total],[1]!CampList[Township],$AI21,[1]!CampList[Status],"open",[1]!CampList[Total],"&gt;5000",[1]!CampList[Total],"&lt;=100000",[1]!CampList[Affected Population],"IDP")</f>
        <v>#REF!</v>
      </c>
      <c r="AP21" s="211"/>
    </row>
    <row r="22" spans="1:42" ht="12.95" customHeight="1" x14ac:dyDescent="0.25">
      <c r="A22" s="696"/>
      <c r="B22" s="352" t="s">
        <v>173</v>
      </c>
      <c r="C22" s="705">
        <f>SUMIFS(CampList[HH],CampList[Township],$B22,CampList[Status],"open",CampList[Affected Population],"IDP", CampList[State],"Kachin")</f>
        <v>75</v>
      </c>
      <c r="D22" s="705">
        <f>SUMIFS(CampList[Total],CampList[Township],$B22,CampList[Status],"open",CampList[Affected Population],"IDP", CampList[State],"Kachin")</f>
        <v>349</v>
      </c>
      <c r="E22" s="353">
        <f>COUNTIFS(CampList[Township],$B22,CampList[Status],"open",CampList[Affected Population],"IDP",CampList[State],"Kachin")</f>
        <v>5</v>
      </c>
      <c r="F22" s="266"/>
      <c r="G22" s="266"/>
      <c r="H22" s="266"/>
      <c r="I22" s="266"/>
      <c r="J22" s="266"/>
      <c r="K22" s="266"/>
      <c r="L22" s="266"/>
      <c r="M22" s="266"/>
      <c r="N22" s="266"/>
      <c r="O22" s="266"/>
      <c r="P22" s="266"/>
      <c r="Q22" s="266"/>
      <c r="R22" s="266"/>
      <c r="S22" s="701"/>
      <c r="AI22" s="687" t="s">
        <v>185</v>
      </c>
      <c r="AJ22" s="702" t="e">
        <f>SUMIFS([1]!CampList[Total],[1]!CampList[Township],$AI22,[1]!CampList[Status],"open",[1]!CampList[Total],"&lt;=100",[1]!CampList[Affected Population],"IDP")</f>
        <v>#REF!</v>
      </c>
      <c r="AK22" s="702" t="e">
        <f>SUMIFS([1]!CampList[Total],[1]!CampList[Township],$AI22,[1]!CampList[Status],"open",[1]!CampList[Total],"&gt;100",[1]!CampList[Total],"&lt;=1000",[1]!CampList[Affected Population],"IDP")</f>
        <v>#REF!</v>
      </c>
      <c r="AL22" s="702" t="e">
        <f>SUMIFS([1]!CampList[Total],[1]!CampList[Township],$AI22,[1]!CampList[Status],"open",[1]!CampList[Total],"&gt;1000",[1]!CampList[Total],"&lt;=5000",[1]!CampList[Affected Population],"IDP")</f>
        <v>#REF!</v>
      </c>
      <c r="AM22" s="702" t="e">
        <f>SUMIFS([1]!CampList[Total],[1]!CampList[Township],$AI22,[1]!CampList[Status],"open",[1]!CampList[Total],"&gt;5000",[1]!CampList[Total],"&lt;=100000",[1]!CampList[Affected Population],"IDP")</f>
        <v>#REF!</v>
      </c>
      <c r="AP22" s="211"/>
    </row>
    <row r="23" spans="1:42" ht="12.95" customHeight="1" x14ac:dyDescent="0.25">
      <c r="A23" s="696"/>
      <c r="B23" s="352" t="s">
        <v>180</v>
      </c>
      <c r="C23" s="705">
        <f>SUMIFS(CampList[HH],CampList[Township],$B23,CampList[Status],"open",CampList[Affected Population],"IDP", CampList[State],"Kachin")</f>
        <v>76</v>
      </c>
      <c r="D23" s="705">
        <f>SUMIFS(CampList[Total],CampList[Township],$B23,CampList[Status],"open",CampList[Affected Population],"IDP", CampList[State],"Kachin")</f>
        <v>350</v>
      </c>
      <c r="E23" s="353">
        <f>COUNTIFS(CampList[Township],$B23,CampList[Status],"open",CampList[Affected Population],"IDP",CampList[State],"Kachin")</f>
        <v>4</v>
      </c>
      <c r="F23" s="266"/>
      <c r="G23" s="266"/>
      <c r="H23" s="266"/>
      <c r="I23" s="266"/>
      <c r="J23" s="266"/>
      <c r="K23" s="266"/>
      <c r="L23" s="266"/>
      <c r="M23" s="266"/>
      <c r="N23" s="266"/>
      <c r="O23" s="266"/>
      <c r="P23" s="266"/>
      <c r="Q23" s="266"/>
      <c r="R23" s="266"/>
      <c r="S23" s="701"/>
      <c r="AI23" s="687" t="s">
        <v>230</v>
      </c>
      <c r="AJ23" s="702" t="e">
        <f>SUMIFS([1]!CampList[Total],[1]!CampList[Township],$AI23,[1]!CampList[Status],"open",[1]!CampList[Total],"&lt;=100",[1]!CampList[Affected Population],"IDP")</f>
        <v>#REF!</v>
      </c>
      <c r="AK23" s="702" t="e">
        <f>SUMIFS([1]!CampList[Total],[1]!CampList[Township],$AI23,[1]!CampList[Status],"open",[1]!CampList[Total],"&gt;100",[1]!CampList[Total],"&lt;=1000",[1]!CampList[Affected Population],"IDP")</f>
        <v>#REF!</v>
      </c>
      <c r="AL23" s="702" t="e">
        <f>SUMIFS([1]!CampList[Total],[1]!CampList[Township],$AI23,[1]!CampList[Status],"open",[1]!CampList[Total],"&gt;1000",[1]!CampList[Total],"&lt;=5000",[1]!CampList[Affected Population],"IDP")</f>
        <v>#REF!</v>
      </c>
      <c r="AM23" s="702" t="e">
        <f>SUMIFS([1]!CampList[Total],[1]!CampList[Township],$AI23,[1]!CampList[Status],"open",[1]!CampList[Total],"&gt;5000",[1]!CampList[Total],"&lt;=100000",[1]!CampList[Affected Population],"IDP")</f>
        <v>#REF!</v>
      </c>
      <c r="AP23" s="211"/>
    </row>
    <row r="24" spans="1:42" ht="12.95" customHeight="1" x14ac:dyDescent="0.25">
      <c r="A24" s="696"/>
      <c r="B24" s="352" t="s">
        <v>185</v>
      </c>
      <c r="C24" s="705">
        <f>SUMIFS(CampList[HH],CampList[Township],$B24,CampList[Status],"open",CampList[Affected Population],"IDP", CampList[State],"Kachin")</f>
        <v>4725</v>
      </c>
      <c r="D24" s="705">
        <f>SUMIFS(CampList[Total],CampList[Township],$B24,CampList[Status],"open",CampList[Affected Population],"IDP", CampList[State],"Kachin")</f>
        <v>24769</v>
      </c>
      <c r="E24" s="353">
        <f>COUNTIFS(CampList[Township],$B24,CampList[Status],"open",CampList[Affected Population],"IDP",CampList[State],"Kachin")</f>
        <v>15</v>
      </c>
      <c r="F24" s="266"/>
      <c r="G24" s="209"/>
      <c r="H24" s="209"/>
      <c r="I24" s="209"/>
      <c r="J24" s="209"/>
      <c r="K24" s="209"/>
      <c r="L24" s="209"/>
      <c r="M24" s="266"/>
      <c r="N24" s="266"/>
      <c r="O24" s="266"/>
      <c r="P24" s="266"/>
      <c r="Q24" s="266"/>
      <c r="R24" s="266"/>
      <c r="S24" s="701"/>
      <c r="AI24" s="687" t="s">
        <v>237</v>
      </c>
      <c r="AJ24" s="702" t="e">
        <f>SUMIFS([1]!CampList[Total],[1]!CampList[Township],$AI24,[1]!CampList[Status],"open",[1]!CampList[Total],"&lt;=100",[1]!CampList[Affected Population],"IDP")</f>
        <v>#REF!</v>
      </c>
      <c r="AK24" s="702" t="e">
        <f>SUMIFS([1]!CampList[Total],[1]!CampList[Township],$AI24,[1]!CampList[Status],"open",[1]!CampList[Total],"&gt;100",[1]!CampList[Total],"&lt;=1000",[1]!CampList[Affected Population],"IDP")</f>
        <v>#REF!</v>
      </c>
      <c r="AL24" s="702" t="e">
        <f>SUMIFS([1]!CampList[Total],[1]!CampList[Township],$AI24,[1]!CampList[Status],"open",[1]!CampList[Total],"&gt;1000",[1]!CampList[Total],"&lt;=5000",[1]!CampList[Affected Population],"IDP")</f>
        <v>#REF!</v>
      </c>
      <c r="AM24" s="702" t="e">
        <f>SUMIFS([1]!CampList[Total],[1]!CampList[Township],$AI24,[1]!CampList[Status],"open",[1]!CampList[Total],"&gt;5000",[1]!CampList[Total],"&lt;=100000",[1]!CampList[Affected Population],"IDP")</f>
        <v>#REF!</v>
      </c>
      <c r="AP24" s="211"/>
    </row>
    <row r="25" spans="1:42" ht="12.95" customHeight="1" x14ac:dyDescent="0.25">
      <c r="A25" s="696"/>
      <c r="B25" s="352" t="s">
        <v>237</v>
      </c>
      <c r="C25" s="705">
        <f>SUMIFS(CampList[HH],CampList[Township],$B25,CampList[Status],"open",CampList[Affected Population],"IDP", CampList[State],"Kachin")</f>
        <v>1471</v>
      </c>
      <c r="D25" s="705">
        <f>SUMIFS(CampList[Total],CampList[Township],$B25,CampList[Status],"open",CampList[Affected Population],"IDP", CampList[State],"Kachin")</f>
        <v>7536</v>
      </c>
      <c r="E25" s="353">
        <f>COUNTIFS(CampList[Township],$B25,CampList[Status],"open",CampList[Affected Population],"IDP",CampList[State],"Kachin")</f>
        <v>22</v>
      </c>
      <c r="F25" s="266"/>
      <c r="G25" s="209"/>
      <c r="H25" s="209"/>
      <c r="I25" s="209"/>
      <c r="J25" s="209"/>
      <c r="K25" s="209"/>
      <c r="L25" s="209"/>
      <c r="M25" s="266"/>
      <c r="N25" s="266"/>
      <c r="O25" s="266"/>
      <c r="P25" s="266"/>
      <c r="Q25" s="266"/>
      <c r="R25" s="266"/>
      <c r="S25" s="701"/>
      <c r="AI25" s="687" t="s">
        <v>288</v>
      </c>
      <c r="AJ25" s="702" t="e">
        <f>SUMIFS([1]!CampList[Total],[1]!CampList[Township],$AI25,[1]!CampList[Status],"open",[1]!CampList[Total],"&lt;=100",[1]!CampList[Affected Population],"IDP")</f>
        <v>#REF!</v>
      </c>
      <c r="AK25" s="702" t="e">
        <f>SUMIFS([1]!CampList[Total],[1]!CampList[Township],$AI25,[1]!CampList[Status],"open",[1]!CampList[Total],"&gt;100",[1]!CampList[Total],"&lt;=1000",[1]!CampList[Affected Population],"IDP")</f>
        <v>#REF!</v>
      </c>
      <c r="AL25" s="702" t="e">
        <f>SUMIFS([1]!CampList[Total],[1]!CampList[Township],$AI25,[1]!CampList[Status],"open",[1]!CampList[Total],"&gt;1000",[1]!CampList[Total],"&lt;=5000",[1]!CampList[Affected Population],"IDP")</f>
        <v>#REF!</v>
      </c>
      <c r="AM25" s="702" t="e">
        <f>SUMIFS([1]!CampList[Total],[1]!CampList[Township],$AI25,[1]!CampList[Status],"open",[1]!CampList[Total],"&gt;5000",[1]!CampList[Total],"&lt;=100000",[1]!CampList[Affected Population],"IDP")</f>
        <v>#REF!</v>
      </c>
      <c r="AP25" s="211"/>
    </row>
    <row r="26" spans="1:42" ht="12.95" customHeight="1" x14ac:dyDescent="0.25">
      <c r="A26" s="696"/>
      <c r="B26" s="352" t="s">
        <v>299</v>
      </c>
      <c r="C26" s="705">
        <f>SUMIFS(CampList[HH],CampList[Township],$B26,CampList[Status],"open",CampList[Affected Population],"IDP", CampList[State],"Kachin")</f>
        <v>85</v>
      </c>
      <c r="D26" s="705">
        <f>SUMIFS(CampList[Total],CampList[Township],$B26,CampList[Status],"open",CampList[Affected Population],"IDP", CampList[State],"Kachin")</f>
        <v>412</v>
      </c>
      <c r="E26" s="353">
        <f>COUNTIFS(CampList[Township],$B26,CampList[Status],"open",CampList[Affected Population],"IDP",CampList[State],"Kachin")</f>
        <v>3</v>
      </c>
      <c r="F26" s="266"/>
      <c r="G26" s="209"/>
      <c r="H26" s="209"/>
      <c r="I26" s="209"/>
      <c r="J26" s="209"/>
      <c r="K26" s="209"/>
      <c r="L26" s="209"/>
      <c r="M26" s="266"/>
      <c r="N26" s="266"/>
      <c r="O26" s="266"/>
      <c r="P26" s="266"/>
      <c r="Q26" s="266"/>
      <c r="R26" s="266"/>
      <c r="S26" s="701"/>
      <c r="AI26" s="687" t="s">
        <v>297</v>
      </c>
      <c r="AJ26" s="702" t="e">
        <f>SUMIFS([1]!CampList[Total],[1]!CampList[Township],$AI26,[1]!CampList[Status],"open",[1]!CampList[Total],"&lt;=100",[1]!CampList[Affected Population],"IDP")</f>
        <v>#REF!</v>
      </c>
      <c r="AK26" s="702" t="e">
        <f>SUMIFS([1]!CampList[Total],[1]!CampList[Township],$AI26,[1]!CampList[Status],"open",[1]!CampList[Total],"&gt;100",[1]!CampList[Total],"&lt;=1000",[1]!CampList[Affected Population],"IDP")</f>
        <v>#REF!</v>
      </c>
      <c r="AL26" s="702" t="e">
        <f>SUMIFS([1]!CampList[Total],[1]!CampList[Township],$AI26,[1]!CampList[Status],"open",[1]!CampList[Total],"&gt;1000",[1]!CampList[Total],"&lt;=5000",[1]!CampList[Affected Population],"IDP")</f>
        <v>#REF!</v>
      </c>
      <c r="AM26" s="702" t="e">
        <f>SUMIFS([1]!CampList[Total],[1]!CampList[Township],$AI26,[1]!CampList[Status],"open",[1]!CampList[Total],"&gt;5000",[1]!CampList[Total],"&lt;=100000",[1]!CampList[Affected Population],"IDP")</f>
        <v>#REF!</v>
      </c>
    </row>
    <row r="27" spans="1:42" ht="12.95" customHeight="1" x14ac:dyDescent="0.25">
      <c r="A27" s="696"/>
      <c r="B27" s="352" t="s">
        <v>301</v>
      </c>
      <c r="C27" s="705">
        <f>SUMIFS(CampList[HH],CampList[Township],$B27,CampList[Status],"open",CampList[Affected Population],"IDP", CampList[State],"Kachin")</f>
        <v>507</v>
      </c>
      <c r="D27" s="705">
        <f>SUMIFS(CampList[Total],CampList[Township],$B27,CampList[Status],"open",CampList[Affected Population],"IDP", CampList[State],"Kachin")</f>
        <v>2177</v>
      </c>
      <c r="E27" s="353">
        <f>COUNTIFS(CampList[Township],$B27,CampList[Status],"open",CampList[Affected Population],"IDP",CampList[State],"Kachin")</f>
        <v>3</v>
      </c>
      <c r="F27" s="266"/>
      <c r="G27" s="209"/>
      <c r="H27" s="209"/>
      <c r="I27" s="209"/>
      <c r="J27" s="209"/>
      <c r="K27" s="209"/>
      <c r="L27" s="209"/>
      <c r="M27" s="266"/>
      <c r="N27" s="266"/>
      <c r="O27" s="266"/>
      <c r="P27" s="266"/>
      <c r="Q27" s="266"/>
      <c r="R27" s="266"/>
      <c r="S27" s="701"/>
      <c r="AI27" s="687" t="s">
        <v>299</v>
      </c>
      <c r="AJ27" s="702" t="e">
        <f>SUMIFS([1]!CampList[Total],[1]!CampList[Township],$AI27,[1]!CampList[Status],"open",[1]!CampList[Total],"&lt;=100",[1]!CampList[Affected Population],"IDP")</f>
        <v>#REF!</v>
      </c>
      <c r="AK27" s="702" t="e">
        <f>SUMIFS([1]!CampList[Total],[1]!CampList[Township],$AI27,[1]!CampList[Status],"open",[1]!CampList[Total],"&gt;100",[1]!CampList[Total],"&lt;=1000",[1]!CampList[Affected Population],"IDP")</f>
        <v>#REF!</v>
      </c>
      <c r="AL27" s="702" t="e">
        <f>SUMIFS([1]!CampList[Total],[1]!CampList[Township],$AI27,[1]!CampList[Status],"open",[1]!CampList[Total],"&gt;1000",[1]!CampList[Total],"&lt;=5000",[1]!CampList[Affected Population],"IDP")</f>
        <v>#REF!</v>
      </c>
      <c r="AM27" s="702" t="e">
        <f>SUMIFS([1]!CampList[Total],[1]!CampList[Township],$AI27,[1]!CampList[Status],"open",[1]!CampList[Total],"&gt;5000",[1]!CampList[Total],"&lt;=100000",[1]!CampList[Affected Population],"IDP")</f>
        <v>#REF!</v>
      </c>
    </row>
    <row r="28" spans="1:42" ht="12.95" customHeight="1" x14ac:dyDescent="0.25">
      <c r="A28" s="696"/>
      <c r="B28" s="352" t="s">
        <v>748</v>
      </c>
      <c r="C28" s="705">
        <f>SUMIFS(CampList[HH],CampList[Township],$B28,CampList[Status],"open",CampList[Affected Population],"IDP", CampList[State],"Kachin")</f>
        <v>138</v>
      </c>
      <c r="D28" s="705">
        <f>SUMIFS(CampList[Total],CampList[Township],$B28,CampList[Status],"open",CampList[Affected Population],"IDP", CampList[State],"Kachin")</f>
        <v>764</v>
      </c>
      <c r="E28" s="353">
        <f>COUNTIFS(CampList[Township],$B28,CampList[Status],"open",CampList[Affected Population],"IDP",CampList[State],"Kachin")</f>
        <v>3</v>
      </c>
      <c r="F28" s="209"/>
      <c r="G28" s="209"/>
      <c r="H28" s="209"/>
      <c r="I28" s="209"/>
      <c r="J28" s="209"/>
      <c r="K28" s="209"/>
      <c r="L28" s="209"/>
      <c r="M28" s="266"/>
      <c r="N28" s="266"/>
      <c r="O28" s="266"/>
      <c r="P28" s="266"/>
      <c r="Q28" s="266"/>
      <c r="R28" s="266"/>
      <c r="S28" s="701"/>
      <c r="AI28" s="687" t="s">
        <v>301</v>
      </c>
      <c r="AJ28" s="702" t="e">
        <f>SUMIFS([1]!CampList[Total],[1]!CampList[Township],$AI28,[1]!CampList[Status],"open",[1]!CampList[Total],"&lt;=100",[1]!CampList[Affected Population],"IDP")</f>
        <v>#REF!</v>
      </c>
      <c r="AK28" s="702" t="e">
        <f>SUMIFS([1]!CampList[Total],[1]!CampList[Township],$AI28,[1]!CampList[Status],"open",[1]!CampList[Total],"&gt;100",[1]!CampList[Total],"&lt;=1000",[1]!CampList[Affected Population],"IDP")</f>
        <v>#REF!</v>
      </c>
      <c r="AL28" s="702" t="e">
        <f>SUMIFS([1]!CampList[Total],[1]!CampList[Township],$AI28,[1]!CampList[Status],"open",[1]!CampList[Total],"&gt;1000",[1]!CampList[Total],"&lt;=5000",[1]!CampList[Affected Population],"IDP")</f>
        <v>#REF!</v>
      </c>
      <c r="AM28" s="702" t="e">
        <f>SUMIFS([1]!CampList[Total],[1]!CampList[Township],$AI28,[1]!CampList[Status],"open",[1]!CampList[Total],"&gt;5000",[1]!CampList[Total],"&lt;=100000",[1]!CampList[Affected Population],"IDP")</f>
        <v>#REF!</v>
      </c>
    </row>
    <row r="29" spans="1:42" ht="12.95" customHeight="1" x14ac:dyDescent="0.25">
      <c r="A29" s="696"/>
      <c r="B29" s="352" t="s">
        <v>1165</v>
      </c>
      <c r="C29" s="705">
        <f>SUMIFS(CampList[HH],CampList[Township],$B29,CampList[Status],"open",CampList[Affected Population],"IDP", CampList[State],"Kachin")</f>
        <v>289</v>
      </c>
      <c r="D29" s="705">
        <f>SUMIFS(CampList[Total],CampList[Township],$B29,CampList[Status],"open",CampList[Affected Population],"IDP", CampList[State],"Kachin")</f>
        <v>992</v>
      </c>
      <c r="E29" s="353">
        <f>COUNTIFS(CampList[Township],$B29,CampList[Status],"open",CampList[Affected Population],"IDP",CampList[State],"Kachin")</f>
        <v>4</v>
      </c>
      <c r="F29" s="209"/>
      <c r="G29" s="209"/>
      <c r="H29" s="209"/>
      <c r="I29" s="209"/>
      <c r="J29" s="209"/>
      <c r="K29" s="209"/>
      <c r="L29" s="209"/>
      <c r="M29" s="266"/>
      <c r="N29" s="266"/>
      <c r="O29" s="266"/>
      <c r="P29" s="266"/>
      <c r="Q29" s="266"/>
      <c r="R29" s="266"/>
      <c r="S29" s="701"/>
      <c r="AI29" s="687" t="s">
        <v>1230</v>
      </c>
      <c r="AJ29" s="702" t="e">
        <f>SUMIFS([1]!CampList[Total],[1]!CampList[Township],$AI29,[1]!CampList[Status],"open",[1]!CampList[Total],"&lt;=100",[1]!CampList[Affected Population],"IDP")</f>
        <v>#REF!</v>
      </c>
      <c r="AK29" s="702" t="e">
        <f>SUMIFS([1]!CampList[Total],[1]!CampList[Township],$AI29,[1]!CampList[Status],"open",[1]!CampList[Total],"&gt;100",[1]!CampList[Total],"&lt;=1000",[1]!CampList[Affected Population],"IDP")</f>
        <v>#REF!</v>
      </c>
      <c r="AL29" s="702" t="e">
        <f>SUMIFS([1]!CampList[Total],[1]!CampList[Township],$AI29,[1]!CampList[Status],"open",[1]!CampList[Total],"&gt;1000",[1]!CampList[Total],"&lt;=5000",[1]!CampList[Affected Population],"IDP")</f>
        <v>#REF!</v>
      </c>
      <c r="AM29" s="702" t="e">
        <f>SUMIFS([1]!CampList[Total],[1]!CampList[Township],$AI29,[1]!CampList[Status],"open",[1]!CampList[Total],"&gt;5000",[1]!CampList[Total],"&lt;=100000",[1]!CampList[Affected Population],"IDP")</f>
        <v>#REF!</v>
      </c>
    </row>
    <row r="30" spans="1:42" ht="12.95" customHeight="1" x14ac:dyDescent="0.25">
      <c r="A30" s="696"/>
      <c r="B30" s="352" t="s">
        <v>309</v>
      </c>
      <c r="C30" s="705">
        <f>SUMIFS(CampList[HH],CampList[Township],$B30,CampList[Status],"open",CampList[Affected Population],"IDP", CampList[State],"Kachin")</f>
        <v>4781</v>
      </c>
      <c r="D30" s="705">
        <f>SUMIFS(CampList[Total],CampList[Township],$B30,CampList[Status],"open",CampList[Affected Population],"IDP", CampList[State],"Kachin")</f>
        <v>24492</v>
      </c>
      <c r="E30" s="353">
        <f>COUNTIFS(CampList[Township],$B30,CampList[Status],"open",CampList[Affected Population],"IDP",CampList[State],"Kachin")</f>
        <v>23</v>
      </c>
      <c r="F30" s="209"/>
      <c r="G30" s="209"/>
      <c r="H30" s="209"/>
      <c r="I30" s="209"/>
      <c r="J30" s="209"/>
      <c r="K30" s="209"/>
      <c r="L30" s="209"/>
      <c r="M30" s="266"/>
      <c r="N30" s="266"/>
      <c r="O30" s="266"/>
      <c r="P30" s="266"/>
      <c r="Q30" s="266"/>
      <c r="R30" s="266"/>
      <c r="S30" s="701"/>
      <c r="AI30" s="687" t="s">
        <v>748</v>
      </c>
      <c r="AJ30" s="702" t="e">
        <f>SUMIFS([1]!CampList[Total],[1]!CampList[Township],$AI30,[1]!CampList[Status],"open",[1]!CampList[Total],"&lt;=100",[1]!CampList[Affected Population],"IDP")</f>
        <v>#REF!</v>
      </c>
      <c r="AK30" s="702" t="e">
        <f>SUMIFS([1]!CampList[Total],[1]!CampList[Township],$AI30,[1]!CampList[Status],"open",[1]!CampList[Total],"&gt;100",[1]!CampList[Total],"&lt;=1000",[1]!CampList[Affected Population],"IDP")</f>
        <v>#REF!</v>
      </c>
      <c r="AL30" s="702" t="e">
        <f>SUMIFS([1]!CampList[Total],[1]!CampList[Township],$AI30,[1]!CampList[Status],"open",[1]!CampList[Total],"&gt;1000",[1]!CampList[Total],"&lt;=5000",[1]!CampList[Affected Population],"IDP")</f>
        <v>#REF!</v>
      </c>
      <c r="AM30" s="702" t="e">
        <f>SUMIFS([1]!CampList[Total],[1]!CampList[Township],$AI30,[1]!CampList[Status],"open",[1]!CampList[Total],"&gt;5000",[1]!CampList[Total],"&lt;=100000",[1]!CampList[Affected Population],"IDP")</f>
        <v>#REF!</v>
      </c>
      <c r="AN30" s="708" t="e">
        <f>AM40+AJ40+AK40+AL40</f>
        <v>#REF!</v>
      </c>
    </row>
    <row r="31" spans="1:42" ht="15.75" customHeight="1" x14ac:dyDescent="0.25">
      <c r="A31" s="725" t="s">
        <v>378</v>
      </c>
      <c r="B31" s="354" t="s">
        <v>781</v>
      </c>
      <c r="C31" s="709">
        <f>SUM(C15:C30)</f>
        <v>17599</v>
      </c>
      <c r="D31" s="709">
        <f>SUM(D15:D30)</f>
        <v>89267</v>
      </c>
      <c r="E31" s="355">
        <f>SUM(E15:E30)</f>
        <v>131</v>
      </c>
      <c r="F31" s="209"/>
      <c r="G31" s="209"/>
      <c r="H31" s="209"/>
      <c r="I31" s="209"/>
      <c r="J31" s="209"/>
      <c r="K31" s="209"/>
      <c r="L31" s="209"/>
      <c r="M31" s="266"/>
      <c r="N31" s="266"/>
      <c r="O31" s="266"/>
      <c r="P31" s="266"/>
      <c r="Q31" s="266"/>
      <c r="R31" s="266"/>
      <c r="S31" s="701"/>
      <c r="AI31" s="687" t="s">
        <v>1165</v>
      </c>
      <c r="AJ31" s="702" t="e">
        <f>SUMIFS([1]!CampList[Total],[1]!CampList[Township],$AI31,[1]!CampList[Status],"open",[1]!CampList[Total],"&lt;=100",[1]!CampList[Affected Population],"IDP")</f>
        <v>#REF!</v>
      </c>
      <c r="AK31" s="702" t="e">
        <f>SUMIFS([1]!CampList[Total],[1]!CampList[Township],$AI31,[1]!CampList[Status],"open",[1]!CampList[Total],"&gt;100",[1]!CampList[Total],"&lt;=1000",[1]!CampList[Affected Population],"IDP")</f>
        <v>#REF!</v>
      </c>
      <c r="AL31" s="702" t="e">
        <f>SUMIFS([1]!CampList[Total],[1]!CampList[Township],$AI31,[1]!CampList[Status],"open",[1]!CampList[Total],"&gt;1000",[1]!CampList[Total],"&lt;=5000",[1]!CampList[Affected Population],"IDP")</f>
        <v>#REF!</v>
      </c>
      <c r="AM31" s="702" t="e">
        <f>SUMIFS([1]!CampList[Total],[1]!CampList[Township],$AI31,[1]!CampList[Status],"open",[1]!CampList[Total],"&gt;5000",[1]!CampList[Total],"&lt;=100000",[1]!CampList[Affected Population],"IDP")</f>
        <v>#REF!</v>
      </c>
      <c r="AN31" s="708"/>
    </row>
    <row r="32" spans="1:42" ht="15.75" customHeight="1" x14ac:dyDescent="0.25">
      <c r="A32" s="696"/>
      <c r="B32" s="350" t="s">
        <v>1179</v>
      </c>
      <c r="C32" s="351"/>
      <c r="D32" s="351"/>
      <c r="E32" s="351"/>
      <c r="F32" s="209"/>
      <c r="G32" s="209"/>
      <c r="H32" s="209"/>
      <c r="I32" s="209"/>
      <c r="J32" s="209"/>
      <c r="K32" s="209"/>
      <c r="L32" s="209"/>
      <c r="M32" s="266"/>
      <c r="N32" s="266"/>
      <c r="O32" s="266"/>
      <c r="P32" s="266"/>
      <c r="Q32" s="266"/>
      <c r="R32" s="266"/>
      <c r="S32" s="701"/>
      <c r="AJ32" s="702" t="e">
        <f>SUMIFS([1]!CampList[Total],[1]!CampList[Township],$AI32,[1]!CampList[Status],"open",[1]!CampList[Total],"&lt;=100",[1]!CampList[Affected Population],"IDP")</f>
        <v>#REF!</v>
      </c>
      <c r="AK32" s="702" t="e">
        <f>SUMIFS([1]!CampList[Total],[1]!CampList[Township],$AI32,[1]!CampList[Status],"open",[1]!CampList[Total],"&gt;100",[1]!CampList[Total],"&lt;=1000",[1]!CampList[Affected Population],"IDP")</f>
        <v>#REF!</v>
      </c>
      <c r="AL32" s="702" t="e">
        <f>SUMIFS([1]!CampList[Total],[1]!CampList[Township],$AI32,[1]!CampList[Status],"open",[1]!CampList[Total],"&gt;1000",[1]!CampList[Total],"&lt;=5000",[1]!CampList[Affected Population],"IDP")</f>
        <v>#REF!</v>
      </c>
      <c r="AM32" s="702" t="e">
        <f>SUMIFS([1]!CampList[Total],[1]!CampList[Township],$AI32,[1]!CampList[Status],"open",[1]!CampList[Total],"&gt;5000",[1]!CampList[Total],"&lt;=100000",[1]!CampList[Affected Population],"IDP")</f>
        <v>#REF!</v>
      </c>
      <c r="AN32" s="708"/>
    </row>
    <row r="33" spans="1:53" ht="14.1" customHeight="1" x14ac:dyDescent="0.25">
      <c r="A33" s="696"/>
      <c r="B33" s="356" t="s">
        <v>720</v>
      </c>
      <c r="C33" s="705">
        <f>SUMIFS(CampList[HH],CampList[Township],$B33,CampList[Status],"open",CampList[Affected Population],"IDP",  CampList[State],"Shan_North")</f>
        <v>100</v>
      </c>
      <c r="D33" s="705">
        <f>SUMIFS(CampList[Total],CampList[Township],$B33,CampList[Status],"open",CampList[Affected Population],"IDP",  CampList[State],"Shan_North")</f>
        <v>566</v>
      </c>
      <c r="E33" s="353">
        <f>COUNTIFS(CampList[Township],$B33,CampList[Status],"open",CampList[Affected Population],"IDP",  CampList[State],"Shan_North")</f>
        <v>2</v>
      </c>
      <c r="F33" s="209"/>
      <c r="G33" s="209"/>
      <c r="H33" s="209"/>
      <c r="I33" s="209"/>
      <c r="J33" s="209"/>
      <c r="K33" s="209"/>
      <c r="L33" s="209"/>
      <c r="M33" s="266"/>
      <c r="N33" s="266"/>
      <c r="O33" s="266"/>
      <c r="P33" s="266"/>
      <c r="Q33" s="266"/>
      <c r="R33" s="266"/>
      <c r="S33" s="701"/>
      <c r="AJ33" s="702" t="e">
        <f>SUMIFS([1]!CampList[Total],[1]!CampList[Township],$AI33,[1]!CampList[Status],"open",[1]!CampList[Total],"&lt;=100",[1]!CampList[Affected Population],"IDP")</f>
        <v>#REF!</v>
      </c>
      <c r="AK33" s="702" t="e">
        <f>SUMIFS([1]!CampList[Total],[1]!CampList[Township],$AI33,[1]!CampList[Status],"open",[1]!CampList[Total],"&gt;100",[1]!CampList[Total],"&lt;=1000",[1]!CampList[Affected Population],"IDP")</f>
        <v>#REF!</v>
      </c>
      <c r="AL33" s="702" t="e">
        <f>SUMIFS([1]!CampList[Total],[1]!CampList[Township],$AI33,[1]!CampList[Status],"open",[1]!CampList[Total],"&gt;1000",[1]!CampList[Total],"&lt;=5000",[1]!CampList[Affected Population],"IDP")</f>
        <v>#REF!</v>
      </c>
      <c r="AM33" s="702" t="e">
        <f>SUMIFS([1]!CampList[Total],[1]!CampList[Township],$AI33,[1]!CampList[Status],"open",[1]!CampList[Total],"&gt;5000",[1]!CampList[Total],"&lt;=100000",[1]!CampList[Affected Population],"IDP")</f>
        <v>#REF!</v>
      </c>
      <c r="AN33" s="708"/>
    </row>
    <row r="34" spans="1:53" ht="14.1" customHeight="1" x14ac:dyDescent="0.25">
      <c r="A34" s="696"/>
      <c r="B34" s="356" t="s">
        <v>146</v>
      </c>
      <c r="C34" s="705">
        <f>SUMIFS(CampList[HH],CampList[Township],$B34,CampList[Status],"open",CampList[Affected Population],"IDP",  CampList[State],"Shan_North")</f>
        <v>875</v>
      </c>
      <c r="D34" s="705">
        <f>SUMIFS(CampList[Total],CampList[Township],$B34,CampList[Status],"open",CampList[Affected Population],"IDP",  CampList[State],"Shan_North")</f>
        <v>4317</v>
      </c>
      <c r="E34" s="353">
        <f>COUNTIFS(CampList[Township],$B34,CampList[Status],"open",CampList[Affected Population],"IDP",  CampList[State],"Shan_North")</f>
        <v>14</v>
      </c>
      <c r="F34" s="209"/>
      <c r="G34" s="209"/>
      <c r="H34" s="209"/>
      <c r="I34" s="209"/>
      <c r="J34" s="209"/>
      <c r="K34" s="209"/>
      <c r="L34" s="209"/>
      <c r="M34" s="266"/>
      <c r="N34" s="266"/>
      <c r="O34" s="266"/>
      <c r="P34" s="266"/>
      <c r="Q34" s="266"/>
      <c r="R34" s="266"/>
      <c r="S34" s="701"/>
      <c r="AJ34" s="702" t="e">
        <f>SUMIFS([1]!CampList[Total],[1]!CampList[Township],$AI34,[1]!CampList[Status],"open",[1]!CampList[Total],"&lt;=100",[1]!CampList[Affected Population],"IDP")</f>
        <v>#REF!</v>
      </c>
      <c r="AK34" s="702" t="e">
        <f>SUMIFS([1]!CampList[Total],[1]!CampList[Township],$AI34,[1]!CampList[Status],"open",[1]!CampList[Total],"&gt;100",[1]!CampList[Total],"&lt;=1000",[1]!CampList[Affected Population],"IDP")</f>
        <v>#REF!</v>
      </c>
      <c r="AL34" s="702" t="e">
        <f>SUMIFS([1]!CampList[Total],[1]!CampList[Township],$AI34,[1]!CampList[Status],"open",[1]!CampList[Total],"&gt;1000",[1]!CampList[Total],"&lt;=5000",[1]!CampList[Affected Population],"IDP")</f>
        <v>#REF!</v>
      </c>
      <c r="AM34" s="702" t="e">
        <f>SUMIFS([1]!CampList[Total],[1]!CampList[Township],$AI34,[1]!CampList[Status],"open",[1]!CampList[Total],"&gt;5000",[1]!CampList[Total],"&lt;=100000",[1]!CampList[Affected Population],"IDP")</f>
        <v>#REF!</v>
      </c>
      <c r="AN34" s="708"/>
    </row>
    <row r="35" spans="1:53" ht="14.1" customHeight="1" x14ac:dyDescent="0.25">
      <c r="A35" s="696"/>
      <c r="B35" s="356" t="s">
        <v>166</v>
      </c>
      <c r="C35" s="705">
        <f>SUMIFS(CampList[HH],CampList[Township],$B35,CampList[Status],"open",CampList[Affected Population],"IDP",  CampList[State],"Shan_North")</f>
        <v>98</v>
      </c>
      <c r="D35" s="705">
        <f>SUMIFS(CampList[Total],CampList[Township],$B35,CampList[Status],"open",CampList[Affected Population],"IDP",  CampList[State],"Shan_North")</f>
        <v>534</v>
      </c>
      <c r="E35" s="353">
        <f>COUNTIFS(CampList[Township],$B35,CampList[Status],"open",CampList[Affected Population],"IDP",  CampList[State],"Shan_North")</f>
        <v>3</v>
      </c>
      <c r="F35" s="209"/>
      <c r="G35" s="209"/>
      <c r="H35" s="209"/>
      <c r="I35" s="209"/>
      <c r="J35" s="209"/>
      <c r="K35" s="209"/>
      <c r="L35" s="209"/>
      <c r="M35" s="266"/>
      <c r="N35" s="266"/>
      <c r="O35" s="266"/>
      <c r="P35" s="266"/>
      <c r="Q35" s="266"/>
      <c r="R35" s="266"/>
      <c r="S35" s="701"/>
      <c r="AJ35" s="702" t="e">
        <f>SUMIFS([1]!CampList[Total],[1]!CampList[Township],$AI35,[1]!CampList[Status],"open",[1]!CampList[Total],"&lt;=100",[1]!CampList[Affected Population],"IDP")</f>
        <v>#REF!</v>
      </c>
      <c r="AK35" s="702" t="e">
        <f>SUMIFS([1]!CampList[Total],[1]!CampList[Township],$AI35,[1]!CampList[Status],"open",[1]!CampList[Total],"&gt;100",[1]!CampList[Total],"&lt;=1000",[1]!CampList[Affected Population],"IDP")</f>
        <v>#REF!</v>
      </c>
      <c r="AL35" s="702" t="e">
        <f>SUMIFS([1]!CampList[Total],[1]!CampList[Township],$AI35,[1]!CampList[Status],"open",[1]!CampList[Total],"&gt;1000",[1]!CampList[Total],"&lt;=5000",[1]!CampList[Affected Population],"IDP")</f>
        <v>#REF!</v>
      </c>
      <c r="AM35" s="702" t="e">
        <f>SUMIFS([1]!CampList[Total],[1]!CampList[Township],$AI35,[1]!CampList[Status],"open",[1]!CampList[Total],"&gt;5000",[1]!CampList[Total],"&lt;=100000",[1]!CampList[Affected Population],"IDP")</f>
        <v>#REF!</v>
      </c>
      <c r="AN35" s="708"/>
    </row>
    <row r="36" spans="1:53" ht="14.1" customHeight="1" x14ac:dyDescent="0.25">
      <c r="A36" s="696"/>
      <c r="B36" s="352" t="s">
        <v>230</v>
      </c>
      <c r="C36" s="705">
        <f>SUMIFS(CampList[HH],CampList[Township],$B36,CampList[Status],"open",CampList[Affected Population],"IDP",  CampList[State],"Shan_North")</f>
        <v>252</v>
      </c>
      <c r="D36" s="705">
        <f>SUMIFS(CampList[Total],CampList[Township],$B36,CampList[Status],"open",CampList[Affected Population],"IDP",  CampList[State],"Shan_North")</f>
        <v>1261</v>
      </c>
      <c r="E36" s="353">
        <f>COUNTIFS(CampList[Township],$B36,CampList[Status],"open",CampList[Affected Population],"IDP",  CampList[State],"Shan_North")</f>
        <v>4</v>
      </c>
      <c r="F36" s="209"/>
      <c r="G36" s="209"/>
      <c r="H36" s="209"/>
      <c r="I36" s="209"/>
      <c r="J36" s="209"/>
      <c r="K36" s="209"/>
      <c r="L36" s="209"/>
      <c r="M36" s="266"/>
      <c r="N36" s="266"/>
      <c r="O36" s="266"/>
      <c r="P36" s="266"/>
      <c r="Q36" s="266"/>
      <c r="R36" s="266"/>
      <c r="S36" s="701"/>
      <c r="AJ36" s="702" t="e">
        <f>SUMIFS([1]!CampList[Total],[1]!CampList[Township],$AI36,[1]!CampList[Status],"open",[1]!CampList[Total],"&lt;=100",[1]!CampList[Affected Population],"IDP")</f>
        <v>#REF!</v>
      </c>
      <c r="AK36" s="702" t="e">
        <f>SUMIFS([1]!CampList[Total],[1]!CampList[Township],$AI36,[1]!CampList[Status],"open",[1]!CampList[Total],"&gt;100",[1]!CampList[Total],"&lt;=1000",[1]!CampList[Affected Population],"IDP")</f>
        <v>#REF!</v>
      </c>
      <c r="AL36" s="702" t="e">
        <f>SUMIFS([1]!CampList[Total],[1]!CampList[Township],$AI36,[1]!CampList[Status],"open",[1]!CampList[Total],"&gt;1000",[1]!CampList[Total],"&lt;=5000",[1]!CampList[Affected Population],"IDP")</f>
        <v>#REF!</v>
      </c>
      <c r="AM36" s="702" t="e">
        <f>SUMIFS([1]!CampList[Total],[1]!CampList[Township],$AI36,[1]!CampList[Status],"open",[1]!CampList[Total],"&gt;5000",[1]!CampList[Total],"&lt;=100000",[1]!CampList[Affected Population],"IDP")</f>
        <v>#REF!</v>
      </c>
      <c r="AN36" s="708"/>
    </row>
    <row r="37" spans="1:53" ht="14.1" customHeight="1" x14ac:dyDescent="0.25">
      <c r="A37" s="696"/>
      <c r="B37" s="352" t="s">
        <v>288</v>
      </c>
      <c r="C37" s="705">
        <f>SUMIFS(CampList[HH],CampList[Township],$B37,CampList[Status],"open",CampList[Affected Population],"IDP",  CampList[State],"Shan_North")</f>
        <v>398</v>
      </c>
      <c r="D37" s="705">
        <f>SUMIFS(CampList[Total],CampList[Township],$B37,CampList[Status],"open",CampList[Affected Population],"IDP",  CampList[State],"Shan_North")</f>
        <v>1960</v>
      </c>
      <c r="E37" s="353">
        <f>COUNTIFS(CampList[Township],$B37,CampList[Status],"open",CampList[Affected Population],"IDP",  CampList[State],"Shan_North")</f>
        <v>6</v>
      </c>
      <c r="F37" s="209"/>
      <c r="G37" s="209"/>
      <c r="H37" s="209"/>
      <c r="I37" s="209"/>
      <c r="J37" s="209"/>
      <c r="K37" s="209"/>
      <c r="L37" s="209"/>
      <c r="M37" s="266"/>
      <c r="N37" s="266"/>
      <c r="O37" s="266"/>
      <c r="P37" s="266"/>
      <c r="Q37" s="266"/>
      <c r="R37" s="266"/>
      <c r="S37" s="701"/>
      <c r="AJ37" s="702" t="e">
        <f>SUMIFS([1]!CampList[Total],[1]!CampList[Township],$AI37,[1]!CampList[Status],"open",[1]!CampList[Total],"&lt;=100",[1]!CampList[Affected Population],"IDP")</f>
        <v>#REF!</v>
      </c>
      <c r="AK37" s="702" t="e">
        <f>SUMIFS([1]!CampList[Total],[1]!CampList[Township],$AI37,[1]!CampList[Status],"open",[1]!CampList[Total],"&gt;100",[1]!CampList[Total],"&lt;=1000",[1]!CampList[Affected Population],"IDP")</f>
        <v>#REF!</v>
      </c>
      <c r="AL37" s="702" t="e">
        <f>SUMIFS([1]!CampList[Total],[1]!CampList[Township],$AI37,[1]!CampList[Status],"open",[1]!CampList[Total],"&gt;1000",[1]!CampList[Total],"&lt;=5000",[1]!CampList[Affected Population],"IDP")</f>
        <v>#REF!</v>
      </c>
      <c r="AM37" s="702" t="e">
        <f>SUMIFS([1]!CampList[Total],[1]!CampList[Township],$AI37,[1]!CampList[Status],"open",[1]!CampList[Total],"&gt;5000",[1]!CampList[Total],"&lt;=100000",[1]!CampList[Affected Population],"IDP")</f>
        <v>#REF!</v>
      </c>
      <c r="AN37" s="708"/>
    </row>
    <row r="38" spans="1:53" ht="14.1" customHeight="1" x14ac:dyDescent="0.25">
      <c r="A38" s="696"/>
      <c r="B38" s="352" t="s">
        <v>1230</v>
      </c>
      <c r="C38" s="705">
        <f>SUMIFS(CampList[HH],CampList[Township],$B38,CampList[Status],"open",CampList[Affected Population],"IDP",  CampList[State],"Shan_North")</f>
        <v>37</v>
      </c>
      <c r="D38" s="705">
        <f>SUMIFS(CampList[Total],CampList[Township],$B38,CampList[Status],"open",CampList[Affected Population],"IDP",  CampList[State],"Shan_North")</f>
        <v>120</v>
      </c>
      <c r="E38" s="353">
        <f>COUNTIFS(CampList[Township],$B38,CampList[Status],"open",CampList[Affected Population],"IDP",  CampList[State],"Shan_North")</f>
        <v>1</v>
      </c>
      <c r="F38" s="209"/>
      <c r="G38" s="209"/>
      <c r="H38" s="209"/>
      <c r="I38" s="209"/>
      <c r="J38" s="209"/>
      <c r="K38" s="209"/>
      <c r="L38" s="209"/>
      <c r="M38" s="266"/>
      <c r="N38" s="266"/>
      <c r="O38" s="266"/>
      <c r="P38" s="266"/>
      <c r="Q38" s="266"/>
      <c r="R38" s="266"/>
      <c r="S38" s="701"/>
      <c r="AJ38" s="702"/>
      <c r="AK38" s="702"/>
      <c r="AL38" s="702"/>
      <c r="AM38" s="702"/>
      <c r="AN38" s="708"/>
    </row>
    <row r="39" spans="1:53" ht="14.1" customHeight="1" x14ac:dyDescent="0.25">
      <c r="A39" s="696"/>
      <c r="B39" s="352" t="s">
        <v>297</v>
      </c>
      <c r="C39" s="705">
        <f>SUMIFS(CampList[HH],CampList[Township],$B39,CampList[Status],"open",CampList[Affected Population],"IDP",  CampList[State],"Shan_North")</f>
        <v>148</v>
      </c>
      <c r="D39" s="705">
        <f>SUMIFS(CampList[Total],CampList[Township],$B39,CampList[Status],"open",CampList[Affected Population],"IDP",  CampList[State],"Shan_North")</f>
        <v>650</v>
      </c>
      <c r="E39" s="353">
        <f>COUNTIFS(CampList[Township],$B39,CampList[Status],"open",CampList[Affected Population],"IDP",  CampList[State],"Shan_North")</f>
        <v>4</v>
      </c>
      <c r="F39" s="209"/>
      <c r="G39" s="209"/>
      <c r="H39" s="209"/>
      <c r="I39" s="209"/>
      <c r="J39" s="209"/>
      <c r="K39" s="209"/>
      <c r="L39" s="209"/>
      <c r="M39" s="209"/>
      <c r="N39" s="209"/>
      <c r="O39" s="209"/>
      <c r="P39" s="209"/>
      <c r="Q39" s="209"/>
      <c r="R39" s="209"/>
      <c r="S39" s="701"/>
      <c r="AI39" s="687" t="s">
        <v>309</v>
      </c>
      <c r="AJ39" s="702" t="e">
        <f>SUMIFS([1]!CampList[Total],[1]!CampList[Township],$AI39,[1]!CampList[Status],"open",[1]!CampList[Total],"&lt;=100",[1]!CampList[Affected Population],"IDP")</f>
        <v>#REF!</v>
      </c>
      <c r="AK39" s="702" t="e">
        <f>SUMIFS([1]!CampList[Total],[1]!CampList[Township],$AI39,[1]!CampList[Status],"open",[1]!CampList[Total],"&gt;100",[1]!CampList[Total],"&lt;=1000",[1]!CampList[Affected Population],"IDP")</f>
        <v>#REF!</v>
      </c>
      <c r="AL39" s="702" t="e">
        <f>SUMIFS([1]!CampList[Total],[1]!CampList[Township],$AI39,[1]!CampList[Status],"open",[1]!CampList[Total],"&gt;1000",[1]!CampList[Total],"&lt;=5000",[1]!CampList[Affected Population],"IDP")</f>
        <v>#REF!</v>
      </c>
      <c r="AM39" s="702" t="e">
        <f>SUMIFS([1]!CampList[Total],[1]!CampList[Township],$AI39,[1]!CampList[Status],"open",[1]!CampList[Total],"&gt;5000",[1]!CampList[Total],"&lt;=100000",[1]!CampList[Affected Population],"IDP")</f>
        <v>#REF!</v>
      </c>
      <c r="AN39" s="710"/>
    </row>
    <row r="40" spans="1:53" ht="15" customHeight="1" x14ac:dyDescent="0.25">
      <c r="A40" s="725" t="s">
        <v>1179</v>
      </c>
      <c r="B40" s="357" t="s">
        <v>1180</v>
      </c>
      <c r="C40" s="709">
        <f>SUM(C33:C39)</f>
        <v>1908</v>
      </c>
      <c r="D40" s="709">
        <f>SUM(D33:D39)</f>
        <v>9408</v>
      </c>
      <c r="E40" s="355">
        <f>SUM(E33:E39)</f>
        <v>34</v>
      </c>
      <c r="F40" s="209"/>
      <c r="G40" s="209"/>
      <c r="H40" s="209"/>
      <c r="I40" s="209"/>
      <c r="J40" s="209"/>
      <c r="K40" s="209"/>
      <c r="L40" s="209"/>
      <c r="M40" s="209"/>
      <c r="N40" s="209"/>
      <c r="O40" s="209"/>
      <c r="P40" s="209"/>
      <c r="Q40" s="209"/>
      <c r="R40" s="209"/>
      <c r="S40" s="701"/>
      <c r="AI40" s="687" t="s">
        <v>3</v>
      </c>
      <c r="AJ40" s="711" t="e">
        <f>SUM(AJ7:AJ39)</f>
        <v>#REF!</v>
      </c>
      <c r="AK40" s="711" t="e">
        <f>SUM(AK7:AK39)</f>
        <v>#REF!</v>
      </c>
      <c r="AL40" s="711" t="e">
        <f>SUM(AL7:AL39)</f>
        <v>#REF!</v>
      </c>
      <c r="AM40" s="711" t="e">
        <f>SUM(AM7:AM39)</f>
        <v>#REF!</v>
      </c>
      <c r="AN40" s="712"/>
      <c r="AO40" s="710"/>
    </row>
    <row r="41" spans="1:53" ht="15.75" customHeight="1" x14ac:dyDescent="0.25">
      <c r="A41" s="713"/>
      <c r="B41" s="348" t="s">
        <v>411</v>
      </c>
      <c r="C41" s="729">
        <f>C31+C40</f>
        <v>19507</v>
      </c>
      <c r="D41" s="729">
        <f>D31+D40</f>
        <v>98675</v>
      </c>
      <c r="E41" s="729">
        <f>E31+E40</f>
        <v>165</v>
      </c>
      <c r="F41" s="209"/>
      <c r="G41" s="209"/>
      <c r="H41" s="209"/>
      <c r="I41" s="209"/>
      <c r="J41" s="209"/>
      <c r="K41" s="209"/>
      <c r="L41" s="209"/>
      <c r="M41" s="266"/>
      <c r="N41" s="266"/>
      <c r="O41" s="266"/>
      <c r="P41" s="266"/>
      <c r="Q41" s="266"/>
      <c r="R41" s="266"/>
      <c r="S41" s="701"/>
      <c r="AO41" s="710"/>
    </row>
    <row r="42" spans="1:53" ht="12.75" customHeight="1" x14ac:dyDescent="0.25">
      <c r="A42" s="696"/>
      <c r="B42" s="209"/>
      <c r="C42" s="209"/>
      <c r="D42" s="209"/>
      <c r="E42" s="209"/>
      <c r="F42" s="209"/>
      <c r="G42" s="209"/>
      <c r="H42" s="209"/>
      <c r="I42" s="209"/>
      <c r="J42" s="209"/>
      <c r="K42" s="209"/>
      <c r="L42" s="209"/>
      <c r="M42" s="266"/>
      <c r="N42" s="266"/>
      <c r="O42" s="266"/>
      <c r="P42" s="266"/>
      <c r="Q42" s="266"/>
      <c r="R42" s="266"/>
      <c r="S42" s="701"/>
      <c r="AJ42" s="490" t="s">
        <v>1620</v>
      </c>
      <c r="AK42" s="490"/>
      <c r="AL42" s="490"/>
      <c r="AN42" s="687" t="s">
        <v>1619</v>
      </c>
      <c r="AO42" s="710">
        <f>SUM(AK42:AN42)</f>
        <v>0</v>
      </c>
    </row>
    <row r="43" spans="1:53" ht="14.1" customHeight="1" x14ac:dyDescent="0.25">
      <c r="A43" s="696"/>
      <c r="B43" s="846" t="s">
        <v>1645</v>
      </c>
      <c r="C43" s="847" t="s">
        <v>465</v>
      </c>
      <c r="D43" s="848"/>
      <c r="E43" s="849" t="s">
        <v>467</v>
      </c>
      <c r="F43" s="848"/>
      <c r="G43" s="849" t="s">
        <v>3</v>
      </c>
      <c r="H43" s="847"/>
      <c r="I43" s="848"/>
      <c r="J43" s="209"/>
      <c r="K43" s="209"/>
      <c r="L43" s="209"/>
      <c r="M43" s="266"/>
      <c r="N43" s="266"/>
      <c r="O43" s="266"/>
      <c r="P43" s="266"/>
      <c r="Q43" s="266"/>
      <c r="R43" s="266"/>
      <c r="S43" s="701"/>
      <c r="AJ43" s="490"/>
      <c r="AK43" s="490"/>
      <c r="AL43" s="490"/>
      <c r="AO43" s="710"/>
    </row>
    <row r="44" spans="1:53" ht="18.75" customHeight="1" x14ac:dyDescent="0.25">
      <c r="A44" s="696"/>
      <c r="B44" s="846"/>
      <c r="C44" s="219" t="s">
        <v>1622</v>
      </c>
      <c r="D44" s="723" t="s">
        <v>790</v>
      </c>
      <c r="E44" s="219" t="s">
        <v>1622</v>
      </c>
      <c r="F44" s="723" t="s">
        <v>790</v>
      </c>
      <c r="G44" s="387" t="s">
        <v>1622</v>
      </c>
      <c r="H44" s="724" t="s">
        <v>790</v>
      </c>
      <c r="I44" s="731" t="s">
        <v>1629</v>
      </c>
      <c r="J44" s="209"/>
      <c r="K44" s="209"/>
      <c r="L44" s="209"/>
      <c r="M44" s="266"/>
      <c r="N44" s="266"/>
      <c r="O44" s="266"/>
      <c r="P44" s="266"/>
      <c r="Q44" s="266"/>
      <c r="R44" s="266"/>
      <c r="S44" s="701"/>
      <c r="AJ44" s="490"/>
      <c r="AK44" s="490"/>
      <c r="AL44" s="490"/>
      <c r="AO44" s="710"/>
    </row>
    <row r="45" spans="1:53" ht="18.75" customHeight="1" x14ac:dyDescent="0.25">
      <c r="A45" s="696"/>
      <c r="B45" s="714" t="s">
        <v>508</v>
      </c>
      <c r="C45" s="705">
        <f>COUNTIFS(CampList[[#All],[Status]],"Open",CampList[[#All],[Type of Accommodation]],"Camp",CampList[[#All],[Accessibility]],"GCA")</f>
        <v>113</v>
      </c>
      <c r="D45" s="723">
        <f>SUMIFS(CampList[[#All],[Total]],CampList[[#All],[Status]],"Open",CampList[[#All],[Type of Accommodation]],"Camp",CampList[[#All],[Accessibility]],"GCA")</f>
        <v>49678</v>
      </c>
      <c r="E45" s="705">
        <f>COUNTIFS(CampList[[#All],[Status]],"Open",CampList[[#All],[Type of Accommodation]],"Camp",CampList[[#All],[Accessibility]],"NGCA")</f>
        <v>17</v>
      </c>
      <c r="F45" s="723">
        <f>SUMIFS(CampList[[#All],[Total]],CampList[[#All],[Status]],"Open",CampList[[#All],[Type of Accommodation]],"Camp",CampList[[#All],[Accessibility]],"NGCA")</f>
        <v>37634</v>
      </c>
      <c r="G45" s="219">
        <f>C45+E45</f>
        <v>130</v>
      </c>
      <c r="H45" s="723">
        <f>F45+D45</f>
        <v>87312</v>
      </c>
      <c r="I45" s="730">
        <f t="shared" ref="I45:I50" si="0">H45/$H$49</f>
        <v>0.88484418545730936</v>
      </c>
      <c r="J45" s="209"/>
      <c r="K45" s="209"/>
      <c r="L45" s="209"/>
      <c r="M45" s="266"/>
      <c r="N45" s="266"/>
      <c r="O45" s="266"/>
      <c r="P45" s="266"/>
      <c r="Q45" s="266"/>
      <c r="R45" s="266"/>
      <c r="S45" s="701"/>
      <c r="AI45" s="687" t="s">
        <v>0</v>
      </c>
      <c r="AJ45" s="687" t="s">
        <v>1613</v>
      </c>
      <c r="AK45" s="687" t="s">
        <v>1614</v>
      </c>
      <c r="AL45" s="687" t="s">
        <v>1621</v>
      </c>
      <c r="AM45" s="687" t="s">
        <v>1616</v>
      </c>
      <c r="AN45" s="687" t="s">
        <v>1619</v>
      </c>
      <c r="AO45" s="710">
        <f>SUM(AJ45:AN45)</f>
        <v>0</v>
      </c>
    </row>
    <row r="46" spans="1:53" ht="18.75" customHeight="1" x14ac:dyDescent="0.25">
      <c r="A46" s="696"/>
      <c r="B46" s="714" t="s">
        <v>12</v>
      </c>
      <c r="C46" s="705">
        <f>COUNTIFS(CampList[[#All],[Status]],"Open",CampList[[#All],[Type of Accommodation]],"Host Families",CampList[[#All],[Accessibility]],"GCA")</f>
        <v>12</v>
      </c>
      <c r="D46" s="723">
        <f>SUMIFS(CampList[[#All],[Total]],CampList[[#All],[Status]],"Open",CampList[[#All],[Type of Accommodation]],"Host Families",CampList[[#All],[Accessibility]],"GCA")</f>
        <v>5467</v>
      </c>
      <c r="E46" s="705">
        <f>COUNTIFS(CampList[[#All],[Status]],"Open",CampList[[#All],[Type of Accommodation]],"Host Families",CampList[[#All],[Accessibility]],"NGCA")</f>
        <v>1</v>
      </c>
      <c r="F46" s="723">
        <f>SUMIFS(CampList[[#All],[Total]],CampList[[#All],[Status]],"Open",CampList[[#All],[Type of Accommodation]],"Host Families",CampList[[#All],[Accessibility]],"NGCA")</f>
        <v>392</v>
      </c>
      <c r="G46" s="219">
        <f>C46+E46</f>
        <v>13</v>
      </c>
      <c r="H46" s="723">
        <f>F46+D46</f>
        <v>5859</v>
      </c>
      <c r="I46" s="730">
        <f t="shared" si="0"/>
        <v>5.9376741829237398E-2</v>
      </c>
      <c r="J46" s="209"/>
      <c r="K46" s="209"/>
      <c r="L46" s="209"/>
      <c r="M46" s="266"/>
      <c r="N46" s="266"/>
      <c r="O46" s="266"/>
      <c r="P46" s="266"/>
      <c r="Q46" s="266"/>
      <c r="R46" s="266"/>
      <c r="S46" s="701"/>
      <c r="AI46" s="687" t="s">
        <v>5</v>
      </c>
      <c r="AJ46" s="702" t="e">
        <f>COUNTIFS([1]!CampList[Township],$AI46,[1]!CampList[Status],"open",[1]!CampList[Total],"&lt;=100",[1]!CampList[Affected Population],"IDP")</f>
        <v>#REF!</v>
      </c>
      <c r="AK46" s="702" t="e">
        <f>COUNTIFS([1]!CampList[Township],$AI46,[1]!CampList[Status],"open",[1]!CampList[Total],"&gt;100",[1]!CampList[Total],"&lt;=1000",[1]!CampList[Affected Population],"IDP")</f>
        <v>#REF!</v>
      </c>
      <c r="AL46" s="702" t="e">
        <f>COUNTIFS([1]!CampList[Township],$AI46,[1]!CampList[Status],"open",[1]!CampList[Total],"&gt;1000",[1]!CampList[Total],"&lt;=5000",[1]!CampList[Affected Population],"IDP")</f>
        <v>#REF!</v>
      </c>
      <c r="AM46" s="702" t="e">
        <f>COUNTIFS([1]!CampList[Township],$AI46,[1]!CampList[Status],"open",[1]!CampList[Total],"&gt;5000",[1]!CampList[Total],"&lt;=100000",[1]!CampList[Affected Population],"IDP")</f>
        <v>#REF!</v>
      </c>
      <c r="AN46" s="687" t="e">
        <f>COUNTIFS([1]!CampList[Township],$AI47,[1]!CampList[Status],"open",[1]!CampList[Total],"",[1]!CampList[Affected Population],"IDP")</f>
        <v>#REF!</v>
      </c>
      <c r="AO46" s="715" t="e">
        <f>SUM(AJ46:AN46)</f>
        <v>#REF!</v>
      </c>
    </row>
    <row r="47" spans="1:53" s="687" customFormat="1" ht="18.75" customHeight="1" x14ac:dyDescent="0.25">
      <c r="A47" s="696"/>
      <c r="B47" s="714" t="s">
        <v>853</v>
      </c>
      <c r="C47" s="705">
        <f>COUNTIFS(CampList[[#All],[Status]],"Open",CampList[[#All],[Type of Accommodation]],"Boarding School",CampList[[#All],[Accessibility]],"GCA")</f>
        <v>0</v>
      </c>
      <c r="D47" s="723">
        <f>SUMIFS(CampList[[#All],[Total]],CampList[[#All],[Status]],"Open",CampList[[#All],[Type of Accommodation]],"Boarding School",CampList[[#All],[Accessibility]],"GCA")</f>
        <v>0</v>
      </c>
      <c r="E47" s="705">
        <f>COUNTIFS(CampList[[#All],[Status]],"Open",CampList[[#All],[Type of Accommodation]],"Boarding School",CampList[[#All],[Accessibility]],"NGCA")</f>
        <v>1</v>
      </c>
      <c r="F47" s="723">
        <f>SUMIFS(CampList[[#All],[Total]],CampList[[#All],[Status]],"Open",CampList[[#All],[Type of Accommodation]],"Boarding School",CampList[[#All],[Accessibility]],"NGCA")</f>
        <v>872</v>
      </c>
      <c r="G47" s="219">
        <f>C47+E47</f>
        <v>1</v>
      </c>
      <c r="H47" s="723">
        <f>F47+D47</f>
        <v>872</v>
      </c>
      <c r="I47" s="730">
        <f t="shared" si="0"/>
        <v>8.8370914618697751E-3</v>
      </c>
      <c r="J47" s="209"/>
      <c r="K47" s="209"/>
      <c r="L47" s="209"/>
      <c r="M47" s="266"/>
      <c r="N47" s="266"/>
      <c r="O47" s="266"/>
      <c r="P47" s="266"/>
      <c r="Q47" s="266"/>
      <c r="R47" s="266"/>
      <c r="S47" s="701"/>
      <c r="T47" s="219"/>
      <c r="U47" s="359"/>
      <c r="V47" s="359"/>
      <c r="W47" s="686"/>
      <c r="X47" s="686"/>
      <c r="Y47" s="686"/>
      <c r="Z47" s="686"/>
      <c r="AA47" s="686"/>
      <c r="AB47" s="686"/>
      <c r="AC47" s="686"/>
      <c r="AD47" s="686"/>
      <c r="AE47" s="686"/>
      <c r="AF47" s="686"/>
      <c r="AG47" s="686"/>
      <c r="AI47" s="687" t="s">
        <v>27</v>
      </c>
      <c r="AJ47" s="702" t="e">
        <f>COUNTIFS([1]!CampList[Township],$AI47,[1]!CampList[Status],"open",[1]!CampList[Total],"&lt;=100",[1]!CampList[Affected Population],"IDP")</f>
        <v>#REF!</v>
      </c>
      <c r="AK47" s="702" t="e">
        <f>COUNTIFS([1]!CampList[Township],$AI47,[1]!CampList[Status],"open",[1]!CampList[Total],"&gt;100",[1]!CampList[Total],"&lt;=1000",[1]!CampList[Affected Population],"IDP")</f>
        <v>#REF!</v>
      </c>
      <c r="AL47" s="702" t="e">
        <f>COUNTIFS([1]!CampList[Township],$AI47,[1]!CampList[Status],"open",[1]!CampList[Total],"&gt;1000",[1]!CampList[Total],"&lt;=5000",[1]!CampList[Affected Population],"IDP")</f>
        <v>#REF!</v>
      </c>
      <c r="AM47" s="702" t="e">
        <f>COUNTIFS([1]!CampList[Township],$AI47,[1]!CampList[Status],"open",[1]!CampList[Total],"&gt;5000",[1]!CampList[Total],"&lt;=100000",[1]!CampList[Affected Population],"IDP")</f>
        <v>#REF!</v>
      </c>
      <c r="AN47" s="687" t="e">
        <f>COUNTIFS([1]!CampList[Township],$AI49,[1]!CampList[Status],"open",[1]!CampList[Total],"",[1]!CampList[Affected Population],"IDP")</f>
        <v>#REF!</v>
      </c>
      <c r="AO47" s="715" t="e">
        <f t="shared" ref="AO47:AO65" si="1">SUM(AJ47:AN47)</f>
        <v>#REF!</v>
      </c>
      <c r="AU47" s="686"/>
      <c r="AV47" s="686"/>
      <c r="AW47" s="686"/>
      <c r="AX47" s="686"/>
      <c r="AY47" s="686"/>
      <c r="AZ47" s="359"/>
      <c r="BA47" s="359"/>
    </row>
    <row r="48" spans="1:53" s="687" customFormat="1" ht="18.75" customHeight="1" x14ac:dyDescent="0.25">
      <c r="A48" s="696"/>
      <c r="B48" s="714" t="s">
        <v>1574</v>
      </c>
      <c r="C48" s="705">
        <f>COUNTIFS(CampList[[#All],[Status]],"Open",CampList[[#All],[Type of Accommodation]],"Camp like setting",CampList[[#All],[Accessibility]],"GCA")</f>
        <v>21</v>
      </c>
      <c r="D48" s="723">
        <f>SUMIFS(CampList[[#All],[Total]],CampList[[#All],[Status]],"Open",CampList[[#All],[Type of Accommodation]],"Camp like setting",CampList[[#All],[Accessibility]],"GCA")</f>
        <v>4632</v>
      </c>
      <c r="E48" s="705">
        <f>COUNTIFS(CampList[[#All],[Status]],"Open",CampList[[#All],[Type of Accommodation]],"Camp like setting",CampList[[#All],[Accessibility]],"NGCA")</f>
        <v>0</v>
      </c>
      <c r="F48" s="723">
        <f>SUMIFS(CampList[[#All],[Total]],CampList[[#All],[Status]],"Open",CampList[[#All],[Type of Accommodation]],"Camp like setting",CampList[[#All],[Accessibility]],"NGCA")</f>
        <v>0</v>
      </c>
      <c r="G48" s="219">
        <f>C48+E48</f>
        <v>21</v>
      </c>
      <c r="H48" s="723">
        <f>F48+D48</f>
        <v>4632</v>
      </c>
      <c r="I48" s="730">
        <f t="shared" si="0"/>
        <v>4.6941981251583484E-2</v>
      </c>
      <c r="J48" s="209"/>
      <c r="K48" s="209"/>
      <c r="L48" s="209"/>
      <c r="M48" s="266"/>
      <c r="N48" s="266"/>
      <c r="O48" s="266"/>
      <c r="P48" s="266"/>
      <c r="Q48" s="266"/>
      <c r="R48" s="266"/>
      <c r="S48" s="701"/>
      <c r="T48" s="219"/>
      <c r="U48" s="359"/>
      <c r="V48" s="359"/>
      <c r="W48" s="686"/>
      <c r="X48" s="686"/>
      <c r="Y48" s="686"/>
      <c r="Z48" s="686"/>
      <c r="AA48" s="686"/>
      <c r="AB48" s="686"/>
      <c r="AC48" s="686"/>
      <c r="AD48" s="686"/>
      <c r="AE48" s="686"/>
      <c r="AF48" s="686"/>
      <c r="AG48" s="686"/>
      <c r="AJ48" s="702"/>
      <c r="AK48" s="702"/>
      <c r="AL48" s="702"/>
      <c r="AM48" s="702"/>
      <c r="AO48" s="715"/>
      <c r="AU48" s="686"/>
      <c r="AV48" s="686"/>
      <c r="AW48" s="686"/>
      <c r="AX48" s="686"/>
      <c r="AY48" s="686"/>
      <c r="AZ48" s="359"/>
      <c r="BA48" s="359"/>
    </row>
    <row r="49" spans="1:53" s="687" customFormat="1" ht="18.75" customHeight="1" x14ac:dyDescent="0.25">
      <c r="A49" s="696"/>
      <c r="B49" s="716" t="s">
        <v>3</v>
      </c>
      <c r="C49" s="709">
        <f t="shared" ref="C49:H49" si="2">SUM(C45:C48)</f>
        <v>146</v>
      </c>
      <c r="D49" s="724">
        <f t="shared" si="2"/>
        <v>59777</v>
      </c>
      <c r="E49" s="709">
        <f t="shared" si="2"/>
        <v>19</v>
      </c>
      <c r="F49" s="724">
        <f t="shared" si="2"/>
        <v>38898</v>
      </c>
      <c r="G49" s="387">
        <f t="shared" si="2"/>
        <v>165</v>
      </c>
      <c r="H49" s="724">
        <f t="shared" si="2"/>
        <v>98675</v>
      </c>
      <c r="I49" s="771">
        <f t="shared" si="0"/>
        <v>1</v>
      </c>
      <c r="J49" s="209"/>
      <c r="K49" s="209"/>
      <c r="L49" s="209"/>
      <c r="M49" s="266"/>
      <c r="N49" s="266"/>
      <c r="O49" s="266"/>
      <c r="P49" s="266"/>
      <c r="Q49" s="266"/>
      <c r="R49" s="266"/>
      <c r="S49" s="701"/>
      <c r="T49" s="219"/>
      <c r="U49" s="359"/>
      <c r="V49" s="359"/>
      <c r="W49" s="686"/>
      <c r="X49" s="686"/>
      <c r="Y49" s="686"/>
      <c r="Z49" s="686"/>
      <c r="AA49" s="686"/>
      <c r="AB49" s="686"/>
      <c r="AC49" s="686"/>
      <c r="AD49" s="686"/>
      <c r="AE49" s="686"/>
      <c r="AF49" s="686"/>
      <c r="AG49" s="686"/>
      <c r="AI49" s="687" t="s">
        <v>481</v>
      </c>
      <c r="AJ49" s="702" t="e">
        <f>COUNTIFS([1]!CampList[Township],$AI49,[1]!CampList[Status],"open",[1]!CampList[Total],"&lt;=100",[1]!CampList[Affected Population],"IDP")</f>
        <v>#REF!</v>
      </c>
      <c r="AK49" s="702" t="e">
        <f>COUNTIFS([1]!CampList[Township],$AI49,[1]!CampList[Status],"open",[1]!CampList[Total],"&gt;100",[1]!CampList[Total],"&lt;=1000",[1]!CampList[Affected Population],"IDP")</f>
        <v>#REF!</v>
      </c>
      <c r="AL49" s="702" t="e">
        <f>COUNTIFS([1]!CampList[Township],$AI49,[1]!CampList[Status],"open",[1]!CampList[Total],"&gt;1000",[1]!CampList[Total],"&lt;=5000",[1]!CampList[Affected Population],"IDP")</f>
        <v>#REF!</v>
      </c>
      <c r="AM49" s="702" t="e">
        <f>COUNTIFS([1]!CampList[Township],$AI49,[1]!CampList[Status],"open",[1]!CampList[Total],"&gt;5000",[1]!CampList[Total],"&lt;=100000",[1]!CampList[Affected Population],"IDP")</f>
        <v>#REF!</v>
      </c>
      <c r="AN49" s="687" t="e">
        <f>COUNTIFS([1]!CampList[Township],#REF!,[1]!CampList[Status],"open",[1]!CampList[Total],"",[1]!CampList[Affected Population],"IDP")</f>
        <v>#REF!</v>
      </c>
      <c r="AO49" s="715" t="e">
        <f t="shared" si="1"/>
        <v>#REF!</v>
      </c>
      <c r="AU49" s="686"/>
      <c r="AV49" s="686"/>
      <c r="AW49" s="686"/>
      <c r="AX49" s="686"/>
      <c r="AY49" s="686"/>
      <c r="AZ49" s="359"/>
      <c r="BA49" s="359"/>
    </row>
    <row r="50" spans="1:53" s="687" customFormat="1" ht="3.75" customHeight="1" x14ac:dyDescent="0.25">
      <c r="A50" s="696"/>
      <c r="B50" s="209"/>
      <c r="C50" s="209"/>
      <c r="D50" s="209"/>
      <c r="E50" s="209"/>
      <c r="F50" s="266"/>
      <c r="G50" s="266"/>
      <c r="H50" s="266"/>
      <c r="I50" s="730">
        <f t="shared" si="0"/>
        <v>0</v>
      </c>
      <c r="J50" s="266"/>
      <c r="K50" s="266"/>
      <c r="L50" s="266"/>
      <c r="M50" s="266"/>
      <c r="N50" s="266"/>
      <c r="O50" s="266"/>
      <c r="P50" s="266"/>
      <c r="Q50" s="266"/>
      <c r="R50" s="266"/>
      <c r="S50" s="701"/>
      <c r="T50" s="219"/>
      <c r="U50" s="359"/>
      <c r="V50" s="359"/>
      <c r="W50" s="686"/>
      <c r="X50" s="686"/>
      <c r="Y50" s="686"/>
      <c r="Z50" s="686"/>
      <c r="AA50" s="686"/>
      <c r="AB50" s="686"/>
      <c r="AC50" s="686"/>
      <c r="AD50" s="686"/>
      <c r="AE50" s="686"/>
      <c r="AF50" s="686"/>
      <c r="AG50" s="686"/>
      <c r="AI50" s="687" t="s">
        <v>144</v>
      </c>
      <c r="AJ50" s="702" t="e">
        <f>COUNTIFS([1]!CampList[Township],$AI50,[1]!CampList[Status],"open",[1]!CampList[Total],"&lt;=100",[1]!CampList[Affected Population],"IDP")</f>
        <v>#REF!</v>
      </c>
      <c r="AK50" s="702" t="e">
        <f>COUNTIFS([1]!CampList[Township],$AI50,[1]!CampList[Status],"open",[1]!CampList[Total],"&gt;100",[1]!CampList[Total],"&lt;=1000",[1]!CampList[Affected Population],"IDP")</f>
        <v>#REF!</v>
      </c>
      <c r="AL50" s="702" t="e">
        <f>COUNTIFS([1]!CampList[Township],$AI50,[1]!CampList[Status],"open",[1]!CampList[Total],"&gt;1000",[1]!CampList[Total],"&lt;=5000",[1]!CampList[Affected Population],"IDP")</f>
        <v>#REF!</v>
      </c>
      <c r="AM50" s="702" t="e">
        <f>COUNTIFS([1]!CampList[Township],$AI50,[1]!CampList[Status],"open",[1]!CampList[Total],"&gt;5000",[1]!CampList[Total],"&lt;=100000",[1]!CampList[Affected Population],"IDP")</f>
        <v>#REF!</v>
      </c>
      <c r="AN50" s="687" t="e">
        <f>COUNTIFS([1]!CampList[Township],#REF!,[1]!CampList[Status],"open",[1]!CampList[Total],"",[1]!CampList[Affected Population],"IDP")</f>
        <v>#REF!</v>
      </c>
      <c r="AO50" s="715" t="e">
        <f t="shared" si="1"/>
        <v>#REF!</v>
      </c>
      <c r="AU50" s="686"/>
      <c r="AV50" s="686"/>
      <c r="AW50" s="686"/>
      <c r="AX50" s="686"/>
      <c r="AY50" s="686"/>
      <c r="AZ50" s="359"/>
      <c r="BA50" s="359"/>
    </row>
    <row r="51" spans="1:53" s="687" customFormat="1" ht="33.75" customHeight="1" x14ac:dyDescent="0.25">
      <c r="A51" s="696"/>
      <c r="B51" s="209"/>
      <c r="C51" s="209"/>
      <c r="D51" s="209"/>
      <c r="E51" s="209"/>
      <c r="F51" s="266"/>
      <c r="G51" s="266"/>
      <c r="H51" s="266"/>
      <c r="I51" s="266"/>
      <c r="J51" s="266"/>
      <c r="K51" s="266"/>
      <c r="L51" s="266"/>
      <c r="M51" s="266"/>
      <c r="N51" s="266"/>
      <c r="O51" s="266"/>
      <c r="P51" s="266"/>
      <c r="Q51" s="266"/>
      <c r="R51" s="266"/>
      <c r="S51" s="701"/>
      <c r="T51" s="219"/>
      <c r="U51" s="359"/>
      <c r="V51" s="359"/>
      <c r="W51" s="686"/>
      <c r="X51" s="686"/>
      <c r="Y51" s="686"/>
      <c r="Z51" s="686"/>
      <c r="AA51" s="686"/>
      <c r="AB51" s="686"/>
      <c r="AC51" s="686"/>
      <c r="AD51" s="686"/>
      <c r="AE51" s="686"/>
      <c r="AF51" s="686"/>
      <c r="AG51" s="686"/>
      <c r="AI51" s="687" t="s">
        <v>146</v>
      </c>
      <c r="AJ51" s="702" t="e">
        <f>COUNTIFS([1]!CampList[Township],$AI51,[1]!CampList[Status],"open",[1]!CampList[Total],"&lt;=100",[1]!CampList[Affected Population],"IDP")</f>
        <v>#REF!</v>
      </c>
      <c r="AK51" s="702" t="e">
        <f>COUNTIFS([1]!CampList[Township],$AI51,[1]!CampList[Status],"open",[1]!CampList[Total],"&gt;100",[1]!CampList[Total],"&lt;=1000",[1]!CampList[Affected Population],"IDP")</f>
        <v>#REF!</v>
      </c>
      <c r="AL51" s="702" t="e">
        <f>COUNTIFS([1]!CampList[Township],$AI51,[1]!CampList[Status],"open",[1]!CampList[Total],"&gt;1000",[1]!CampList[Total],"&lt;=5000",[1]!CampList[Affected Population],"IDP")</f>
        <v>#REF!</v>
      </c>
      <c r="AM51" s="702" t="e">
        <f>COUNTIFS([1]!CampList[Township],$AI51,[1]!CampList[Status],"open",[1]!CampList[Total],"&gt;5000",[1]!CampList[Total],"&lt;=100000",[1]!CampList[Affected Population],"IDP")</f>
        <v>#REF!</v>
      </c>
      <c r="AN51" s="687" t="e">
        <f>COUNTIFS([1]!CampList[Township],#REF!,[1]!CampList[Status],"open",[1]!CampList[Total],"",[1]!CampList[Affected Population],"IDP")</f>
        <v>#REF!</v>
      </c>
      <c r="AO51" s="715" t="e">
        <f t="shared" si="1"/>
        <v>#REF!</v>
      </c>
      <c r="AU51" s="686"/>
      <c r="AV51" s="686"/>
      <c r="AW51" s="686"/>
      <c r="AX51" s="686"/>
      <c r="AY51" s="686"/>
      <c r="AZ51" s="359"/>
      <c r="BA51" s="359"/>
    </row>
    <row r="52" spans="1:53" s="687" customFormat="1" ht="1.5" customHeight="1" thickBot="1" x14ac:dyDescent="0.3">
      <c r="A52" s="717"/>
      <c r="B52" s="718"/>
      <c r="C52" s="718"/>
      <c r="D52" s="718"/>
      <c r="E52" s="718"/>
      <c r="F52" s="718"/>
      <c r="G52" s="718"/>
      <c r="H52" s="718"/>
      <c r="I52" s="718"/>
      <c r="J52" s="718"/>
      <c r="K52" s="718"/>
      <c r="L52" s="718"/>
      <c r="M52" s="718"/>
      <c r="N52" s="718"/>
      <c r="O52" s="718"/>
      <c r="P52" s="718"/>
      <c r="Q52" s="719"/>
      <c r="R52" s="719"/>
      <c r="S52" s="720"/>
      <c r="T52" s="219"/>
      <c r="U52" s="359"/>
      <c r="V52" s="359"/>
      <c r="W52" s="686"/>
      <c r="X52" s="686"/>
      <c r="Y52" s="686"/>
      <c r="Z52" s="686"/>
      <c r="AA52" s="686"/>
      <c r="AB52" s="686"/>
      <c r="AC52" s="686"/>
      <c r="AD52" s="686"/>
      <c r="AE52" s="686"/>
      <c r="AF52" s="686"/>
      <c r="AG52" s="686"/>
      <c r="AI52" s="687" t="s">
        <v>151</v>
      </c>
      <c r="AJ52" s="702" t="e">
        <f>COUNTIFS([1]!CampList[Township],$AI52,[1]!CampList[Status],"open",[1]!CampList[Total],"&lt;=100",[1]!CampList[Affected Population],"IDP")</f>
        <v>#REF!</v>
      </c>
      <c r="AK52" s="702" t="e">
        <f>COUNTIFS([1]!CampList[Township],$AI52,[1]!CampList[Status],"open",[1]!CampList[Total],"&gt;100",[1]!CampList[Total],"&lt;=1000",[1]!CampList[Affected Population],"IDP")</f>
        <v>#REF!</v>
      </c>
      <c r="AL52" s="702" t="e">
        <f>COUNTIFS([1]!CampList[Township],$AI52,[1]!CampList[Status],"open",[1]!CampList[Total],"&gt;1000",[1]!CampList[Total],"&lt;=5000",[1]!CampList[Affected Population],"IDP")</f>
        <v>#REF!</v>
      </c>
      <c r="AM52" s="702" t="e">
        <f>COUNTIFS([1]!CampList[Township],$AI52,[1]!CampList[Status],"open",[1]!CampList[Total],"&gt;5000",[1]!CampList[Total],"&lt;=100000",[1]!CampList[Affected Population],"IDP")</f>
        <v>#REF!</v>
      </c>
      <c r="AN52" s="687" t="e">
        <f>COUNTIFS([1]!CampList[Township],#REF!,[1]!CampList[Status],"open",[1]!CampList[Total],"",[1]!CampList[Affected Population],"IDP")</f>
        <v>#REF!</v>
      </c>
      <c r="AO52" s="715" t="e">
        <f t="shared" si="1"/>
        <v>#REF!</v>
      </c>
      <c r="AU52" s="686"/>
      <c r="AV52" s="686"/>
      <c r="AW52" s="686"/>
      <c r="AX52" s="686"/>
      <c r="AY52" s="686"/>
      <c r="AZ52" s="359"/>
      <c r="BA52" s="359"/>
    </row>
    <row r="53" spans="1:53" s="687" customFormat="1" ht="18.600000000000001" customHeight="1" x14ac:dyDescent="0.25">
      <c r="A53" s="697"/>
      <c r="B53" s="697"/>
      <c r="C53" s="697"/>
      <c r="D53" s="697"/>
      <c r="E53" s="697"/>
      <c r="F53" s="697"/>
      <c r="G53" s="697"/>
      <c r="H53" s="697"/>
      <c r="I53" s="697"/>
      <c r="J53" s="697"/>
      <c r="K53" s="697"/>
      <c r="L53" s="697"/>
      <c r="M53" s="697"/>
      <c r="N53" s="697"/>
      <c r="O53" s="697"/>
      <c r="P53" s="697"/>
      <c r="Q53" s="266"/>
      <c r="R53" s="266"/>
      <c r="S53" s="697"/>
      <c r="T53" s="219"/>
      <c r="U53" s="359"/>
      <c r="V53" s="359"/>
      <c r="W53" s="686"/>
      <c r="X53" s="686"/>
      <c r="Y53" s="686"/>
      <c r="Z53" s="686"/>
      <c r="AA53" s="686"/>
      <c r="AB53" s="686"/>
      <c r="AC53" s="686"/>
      <c r="AD53" s="686"/>
      <c r="AE53" s="686"/>
      <c r="AF53" s="686"/>
      <c r="AG53" s="686"/>
      <c r="AI53" s="687" t="s">
        <v>361</v>
      </c>
      <c r="AJ53" s="702" t="e">
        <f>COUNTIFS([1]!CampList[Township],$AI53,[1]!CampList[Status],"open",[1]!CampList[Total],"&lt;=100",[1]!CampList[Affected Population],"IDP")</f>
        <v>#REF!</v>
      </c>
      <c r="AK53" s="702" t="e">
        <f>COUNTIFS([1]!CampList[Township],$AI53,[1]!CampList[Status],"open",[1]!CampList[Total],"&gt;100",[1]!CampList[Total],"&lt;=1000",[1]!CampList[Affected Population],"IDP")</f>
        <v>#REF!</v>
      </c>
      <c r="AL53" s="702" t="e">
        <f>COUNTIFS([1]!CampList[Township],$AI53,[1]!CampList[Status],"open",[1]!CampList[Total],"&gt;1000",[1]!CampList[Total],"&lt;=5000",[1]!CampList[Affected Population],"IDP")</f>
        <v>#REF!</v>
      </c>
      <c r="AM53" s="702" t="e">
        <f>COUNTIFS([1]!CampList[Township],$AI53,[1]!CampList[Status],"open",[1]!CampList[Total],"&gt;5000",[1]!CampList[Total],"&lt;=100000",[1]!CampList[Affected Population],"IDP")</f>
        <v>#REF!</v>
      </c>
      <c r="AN53" s="687" t="e">
        <f>COUNTIFS([1]!CampList[Township],#REF!,[1]!CampList[Status],"open",[1]!CampList[Total],"",[1]!CampList[Affected Population],"IDP")</f>
        <v>#REF!</v>
      </c>
      <c r="AO53" s="715" t="e">
        <f t="shared" si="1"/>
        <v>#REF!</v>
      </c>
      <c r="AU53" s="686"/>
      <c r="AV53" s="686"/>
      <c r="AW53" s="686"/>
      <c r="AX53" s="686"/>
      <c r="AY53" s="686"/>
      <c r="AZ53" s="359"/>
      <c r="BA53" s="359"/>
    </row>
    <row r="54" spans="1:53" s="687" customFormat="1" x14ac:dyDescent="0.25">
      <c r="A54" s="219"/>
      <c r="B54" s="219"/>
      <c r="C54" s="219"/>
      <c r="D54" s="219"/>
      <c r="E54" s="219"/>
      <c r="F54" s="219"/>
      <c r="G54" s="219"/>
      <c r="H54" s="219"/>
      <c r="I54" s="219"/>
      <c r="J54" s="219"/>
      <c r="K54" s="219"/>
      <c r="L54" s="219"/>
      <c r="M54" s="219"/>
      <c r="N54" s="219"/>
      <c r="O54" s="219"/>
      <c r="P54" s="219"/>
      <c r="Q54" s="219"/>
      <c r="R54" s="219"/>
      <c r="S54" s="219"/>
      <c r="T54" s="219"/>
      <c r="U54" s="359"/>
      <c r="V54" s="359"/>
      <c r="W54" s="686"/>
      <c r="X54" s="686"/>
      <c r="Y54" s="686"/>
      <c r="Z54" s="686"/>
      <c r="AA54" s="686"/>
      <c r="AB54" s="686"/>
      <c r="AC54" s="686"/>
      <c r="AD54" s="686"/>
      <c r="AE54" s="686"/>
      <c r="AF54" s="686"/>
      <c r="AG54" s="686"/>
      <c r="AI54" s="687" t="s">
        <v>166</v>
      </c>
      <c r="AJ54" s="702" t="e">
        <f>COUNTIFS([1]!CampList[Township],$AI54,[1]!CampList[Status],"open",[1]!CampList[Total],"&lt;=100",[1]!CampList[Affected Population],"IDP")</f>
        <v>#REF!</v>
      </c>
      <c r="AK54" s="702" t="e">
        <f>COUNTIFS([1]!CampList[Township],$AI54,[1]!CampList[Status],"open",[1]!CampList[Total],"&gt;100",[1]!CampList[Total],"&lt;=1000",[1]!CampList[Affected Population],"IDP")</f>
        <v>#REF!</v>
      </c>
      <c r="AL54" s="702" t="e">
        <f>COUNTIFS([1]!CampList[Township],$AI54,[1]!CampList[Status],"open",[1]!CampList[Total],"&gt;1000",[1]!CampList[Total],"&lt;=5000",[1]!CampList[Affected Population],"IDP")</f>
        <v>#REF!</v>
      </c>
      <c r="AM54" s="702" t="e">
        <f>COUNTIFS([1]!CampList[Township],$AI54,[1]!CampList[Status],"open",[1]!CampList[Total],"&gt;5000",[1]!CampList[Total],"&lt;=100000",[1]!CampList[Affected Population],"IDP")</f>
        <v>#REF!</v>
      </c>
      <c r="AN54" s="687" t="e">
        <f>COUNTIFS([1]!CampList[Township],#REF!,[1]!CampList[Status],"open",[1]!CampList[Total],"",[1]!CampList[Affected Population],"IDP")</f>
        <v>#REF!</v>
      </c>
      <c r="AO54" s="715" t="e">
        <f t="shared" si="1"/>
        <v>#REF!</v>
      </c>
      <c r="AU54" s="686"/>
      <c r="AV54" s="686"/>
      <c r="AW54" s="686"/>
      <c r="AX54" s="686"/>
      <c r="AY54" s="686"/>
      <c r="AZ54" s="359"/>
      <c r="BA54" s="359"/>
    </row>
    <row r="55" spans="1:53" s="687" customFormat="1" x14ac:dyDescent="0.25">
      <c r="A55" s="219"/>
      <c r="B55" s="219"/>
      <c r="C55" s="219"/>
      <c r="D55" s="219"/>
      <c r="E55" s="219"/>
      <c r="F55" s="219"/>
      <c r="G55" s="219"/>
      <c r="H55" s="219"/>
      <c r="I55" s="219"/>
      <c r="J55" s="219"/>
      <c r="K55" s="219"/>
      <c r="L55" s="219"/>
      <c r="M55" s="219"/>
      <c r="N55" s="219"/>
      <c r="O55" s="219"/>
      <c r="P55" s="219"/>
      <c r="Q55" s="219"/>
      <c r="R55" s="219"/>
      <c r="S55" s="219"/>
      <c r="T55" s="219"/>
      <c r="U55" s="359"/>
      <c r="V55" s="359"/>
      <c r="W55" s="686"/>
      <c r="X55" s="686"/>
      <c r="Y55" s="686"/>
      <c r="Z55" s="686"/>
      <c r="AA55" s="686"/>
      <c r="AB55" s="686"/>
      <c r="AC55" s="686"/>
      <c r="AD55" s="686"/>
      <c r="AE55" s="686"/>
      <c r="AF55" s="686"/>
      <c r="AG55" s="686"/>
      <c r="AI55" s="687" t="s">
        <v>173</v>
      </c>
      <c r="AJ55" s="702" t="e">
        <f>COUNTIFS([1]!CampList[Township],$AI55,[1]!CampList[Status],"open",[1]!CampList[Total],"&lt;=100",[1]!CampList[Affected Population],"IDP")</f>
        <v>#REF!</v>
      </c>
      <c r="AK55" s="702" t="e">
        <f>COUNTIFS([1]!CampList[Township],$AI55,[1]!CampList[Status],"open",[1]!CampList[Total],"&gt;100",[1]!CampList[Total],"&lt;=1000",[1]!CampList[Affected Population],"IDP")</f>
        <v>#REF!</v>
      </c>
      <c r="AL55" s="702" t="e">
        <f>COUNTIFS([1]!CampList[Township],$AI55,[1]!CampList[Status],"open",[1]!CampList[Total],"&gt;1000",[1]!CampList[Total],"&lt;=5000",[1]!CampList[Affected Population],"IDP")</f>
        <v>#REF!</v>
      </c>
      <c r="AM55" s="702" t="e">
        <f>COUNTIFS([1]!CampList[Township],$AI55,[1]!CampList[Status],"open",[1]!CampList[Total],"&gt;5000",[1]!CampList[Total],"&lt;=100000",[1]!CampList[Affected Population],"IDP")</f>
        <v>#REF!</v>
      </c>
      <c r="AN55" s="687" t="e">
        <f>COUNTIFS([1]!CampList[Township],#REF!,[1]!CampList[Status],"open",[1]!CampList[Total],"",[1]!CampList[Affected Population],"IDP")</f>
        <v>#REF!</v>
      </c>
      <c r="AO55" s="715" t="e">
        <f t="shared" si="1"/>
        <v>#REF!</v>
      </c>
      <c r="AU55" s="686"/>
      <c r="AV55" s="686"/>
      <c r="AW55" s="686"/>
      <c r="AX55" s="686"/>
      <c r="AY55" s="686"/>
      <c r="AZ55" s="359"/>
      <c r="BA55" s="359"/>
    </row>
    <row r="56" spans="1:53" s="687" customFormat="1" x14ac:dyDescent="0.25">
      <c r="A56" s="219"/>
      <c r="B56" s="219"/>
      <c r="C56" s="219"/>
      <c r="D56" s="219"/>
      <c r="E56" s="219"/>
      <c r="F56" s="219"/>
      <c r="G56" s="726"/>
      <c r="H56" s="219"/>
      <c r="I56" s="219"/>
      <c r="J56" s="219"/>
      <c r="K56" s="219"/>
      <c r="L56" s="219"/>
      <c r="M56" s="219"/>
      <c r="N56" s="219"/>
      <c r="O56" s="219"/>
      <c r="P56" s="219"/>
      <c r="Q56" s="219"/>
      <c r="R56" s="219"/>
      <c r="S56" s="219"/>
      <c r="T56" s="219"/>
      <c r="U56" s="359"/>
      <c r="V56" s="359"/>
      <c r="W56" s="686"/>
      <c r="X56" s="686"/>
      <c r="Y56" s="686"/>
      <c r="Z56" s="686"/>
      <c r="AA56" s="686"/>
      <c r="AB56" s="686"/>
      <c r="AC56" s="686"/>
      <c r="AD56" s="686"/>
      <c r="AE56" s="686"/>
      <c r="AF56" s="686"/>
      <c r="AG56" s="686"/>
      <c r="AI56" s="687" t="s">
        <v>720</v>
      </c>
      <c r="AJ56" s="702" t="e">
        <f>COUNTIFS([1]!CampList[Township],$AI56,[1]!CampList[Status],"open",[1]!CampList[Total],"&lt;=100",[1]!CampList[Affected Population],"IDP")</f>
        <v>#REF!</v>
      </c>
      <c r="AK56" s="702" t="e">
        <f>COUNTIFS([1]!CampList[Township],$AI56,[1]!CampList[Status],"open",[1]!CampList[Total],"&gt;100",[1]!CampList[Total],"&lt;=1000",[1]!CampList[Affected Population],"IDP")</f>
        <v>#REF!</v>
      </c>
      <c r="AL56" s="702" t="e">
        <f>COUNTIFS([1]!CampList[Township],$AI56,[1]!CampList[Status],"open",[1]!CampList[Total],"&gt;1000",[1]!CampList[Total],"&lt;=5000",[1]!CampList[Affected Population],"IDP")</f>
        <v>#REF!</v>
      </c>
      <c r="AM56" s="702" t="e">
        <f>COUNTIFS([1]!CampList[Township],$AI56,[1]!CampList[Status],"open",[1]!CampList[Total],"&gt;5000",[1]!CampList[Total],"&lt;=100000",[1]!CampList[Affected Population],"IDP")</f>
        <v>#REF!</v>
      </c>
      <c r="AN56" s="687" t="e">
        <f>COUNTIFS([1]!CampList[Township],#REF!,[1]!CampList[Status],"open",[1]!CampList[Total],"",[1]!CampList[Affected Population],"IDP")</f>
        <v>#REF!</v>
      </c>
      <c r="AO56" s="715" t="e">
        <f t="shared" si="1"/>
        <v>#REF!</v>
      </c>
      <c r="AU56" s="686"/>
      <c r="AV56" s="686"/>
      <c r="AW56" s="686"/>
      <c r="AX56" s="686"/>
      <c r="AY56" s="686"/>
      <c r="AZ56" s="359"/>
      <c r="BA56" s="359"/>
    </row>
    <row r="57" spans="1:53" s="687" customFormat="1" x14ac:dyDescent="0.25">
      <c r="A57" s="219"/>
      <c r="B57" s="219"/>
      <c r="C57" s="219"/>
      <c r="D57" s="219"/>
      <c r="E57" s="721"/>
      <c r="F57" s="219"/>
      <c r="G57" s="219"/>
      <c r="H57" s="219"/>
      <c r="I57" s="219"/>
      <c r="J57" s="219"/>
      <c r="K57" s="219"/>
      <c r="L57" s="219"/>
      <c r="M57" s="219"/>
      <c r="N57" s="219"/>
      <c r="O57" s="219"/>
      <c r="P57" s="219"/>
      <c r="Q57" s="219"/>
      <c r="R57" s="219"/>
      <c r="S57" s="219"/>
      <c r="T57" s="219"/>
      <c r="U57" s="359"/>
      <c r="V57" s="359"/>
      <c r="W57" s="686"/>
      <c r="X57" s="686"/>
      <c r="Y57" s="686"/>
      <c r="Z57" s="686"/>
      <c r="AA57" s="686"/>
      <c r="AB57" s="686"/>
      <c r="AC57" s="686"/>
      <c r="AD57" s="686"/>
      <c r="AE57" s="686"/>
      <c r="AF57" s="686"/>
      <c r="AG57" s="686"/>
      <c r="AI57" s="687" t="s">
        <v>180</v>
      </c>
      <c r="AJ57" s="702" t="e">
        <f>COUNTIFS([1]!CampList[Township],$AI57,[1]!CampList[Status],"open",[1]!CampList[Total],"&lt;=100",[1]!CampList[Affected Population],"IDP")</f>
        <v>#REF!</v>
      </c>
      <c r="AK57" s="702" t="e">
        <f>COUNTIFS([1]!CampList[Township],$AI57,[1]!CampList[Status],"open",[1]!CampList[Total],"&gt;100",[1]!CampList[Total],"&lt;=1000",[1]!CampList[Affected Population],"IDP")</f>
        <v>#REF!</v>
      </c>
      <c r="AL57" s="702" t="e">
        <f>COUNTIFS([1]!CampList[Township],$AI57,[1]!CampList[Status],"open",[1]!CampList[Total],"&gt;1000",[1]!CampList[Total],"&lt;=5000",[1]!CampList[Affected Population],"IDP")</f>
        <v>#REF!</v>
      </c>
      <c r="AM57" s="702" t="e">
        <f>COUNTIFS([1]!CampList[Township],$AI57,[1]!CampList[Status],"open",[1]!CampList[Total],"&gt;5000",[1]!CampList[Total],"&lt;=100000",[1]!CampList[Affected Population],"IDP")</f>
        <v>#REF!</v>
      </c>
      <c r="AN57" s="687" t="e">
        <f>COUNTIFS([1]!CampList[Township],#REF!,[1]!CampList[Status],"open",[1]!CampList[Total],"",[1]!CampList[Affected Population],"IDP")</f>
        <v>#REF!</v>
      </c>
      <c r="AO57" s="715" t="e">
        <f t="shared" si="1"/>
        <v>#REF!</v>
      </c>
      <c r="AU57" s="686"/>
      <c r="AV57" s="686"/>
      <c r="AW57" s="686"/>
      <c r="AX57" s="686"/>
      <c r="AY57" s="686"/>
      <c r="AZ57" s="359"/>
      <c r="BA57" s="359"/>
    </row>
    <row r="58" spans="1:53" s="687" customFormat="1" x14ac:dyDescent="0.25">
      <c r="A58" s="219"/>
      <c r="B58" s="219"/>
      <c r="C58" s="219"/>
      <c r="D58" s="219"/>
      <c r="E58" s="219"/>
      <c r="F58" s="219"/>
      <c r="G58" s="219"/>
      <c r="H58" s="219"/>
      <c r="I58" s="219"/>
      <c r="J58" s="219"/>
      <c r="K58" s="219"/>
      <c r="L58" s="219"/>
      <c r="M58" s="219"/>
      <c r="N58" s="219"/>
      <c r="O58" s="219"/>
      <c r="P58" s="219"/>
      <c r="Q58" s="219"/>
      <c r="R58" s="219"/>
      <c r="S58" s="219"/>
      <c r="T58" s="219"/>
      <c r="U58" s="359"/>
      <c r="V58" s="359"/>
      <c r="W58" s="686"/>
      <c r="X58" s="686"/>
      <c r="Y58" s="686"/>
      <c r="Z58" s="686"/>
      <c r="AA58" s="686"/>
      <c r="AB58" s="686"/>
      <c r="AC58" s="686"/>
      <c r="AD58" s="686"/>
      <c r="AE58" s="686"/>
      <c r="AF58" s="686"/>
      <c r="AG58" s="686"/>
      <c r="AI58" s="687" t="s">
        <v>185</v>
      </c>
      <c r="AJ58" s="702" t="e">
        <f>COUNTIFS([1]!CampList[Township],$AI58,[1]!CampList[Status],"open",[1]!CampList[Total],"&lt;=100",[1]!CampList[Affected Population],"IDP")</f>
        <v>#REF!</v>
      </c>
      <c r="AK58" s="702" t="e">
        <f>COUNTIFS([1]!CampList[Township],$AI58,[1]!CampList[Status],"open",[1]!CampList[Total],"&gt;100",[1]!CampList[Total],"&lt;=1000",[1]!CampList[Affected Population],"IDP")</f>
        <v>#REF!</v>
      </c>
      <c r="AL58" s="702" t="e">
        <f>COUNTIFS([1]!CampList[Township],$AI58,[1]!CampList[Status],"open",[1]!CampList[Total],"&gt;1000",[1]!CampList[Total],"&lt;=5000",[1]!CampList[Affected Population],"IDP")</f>
        <v>#REF!</v>
      </c>
      <c r="AM58" s="702" t="e">
        <f>COUNTIFS([1]!CampList[Township],$AI58,[1]!CampList[Status],"open",[1]!CampList[Total],"&gt;5000",[1]!CampList[Total],"&lt;=100000",[1]!CampList[Affected Population],"IDP")</f>
        <v>#REF!</v>
      </c>
      <c r="AN58" s="687" t="e">
        <f>COUNTIFS([1]!CampList[Township],#REF!,[1]!CampList[Status],"open",[1]!CampList[Total],"",[1]!CampList[Affected Population],"IDP")</f>
        <v>#REF!</v>
      </c>
      <c r="AO58" s="715" t="e">
        <f t="shared" si="1"/>
        <v>#REF!</v>
      </c>
      <c r="AU58" s="686"/>
      <c r="AV58" s="686"/>
      <c r="AW58" s="686"/>
      <c r="AX58" s="686"/>
      <c r="AY58" s="686"/>
      <c r="AZ58" s="359"/>
      <c r="BA58" s="359"/>
    </row>
    <row r="59" spans="1:53" s="687" customFormat="1" x14ac:dyDescent="0.25">
      <c r="A59" s="219"/>
      <c r="B59" s="219"/>
      <c r="C59" s="219"/>
      <c r="D59" s="219"/>
      <c r="E59" s="219"/>
      <c r="F59" s="219"/>
      <c r="G59" s="219"/>
      <c r="H59" s="219"/>
      <c r="I59" s="219"/>
      <c r="J59" s="219"/>
      <c r="K59" s="219"/>
      <c r="L59" s="219"/>
      <c r="M59" s="219"/>
      <c r="N59" s="219"/>
      <c r="O59" s="219"/>
      <c r="P59" s="219"/>
      <c r="Q59" s="219"/>
      <c r="R59" s="219"/>
      <c r="S59" s="219"/>
      <c r="T59" s="219"/>
      <c r="U59" s="359"/>
      <c r="V59" s="359"/>
      <c r="W59" s="686"/>
      <c r="X59" s="686"/>
      <c r="Y59" s="686"/>
      <c r="Z59" s="686"/>
      <c r="AA59" s="686"/>
      <c r="AB59" s="686"/>
      <c r="AC59" s="686"/>
      <c r="AD59" s="686"/>
      <c r="AE59" s="686"/>
      <c r="AF59" s="686"/>
      <c r="AG59" s="686"/>
      <c r="AI59" s="687" t="s">
        <v>230</v>
      </c>
      <c r="AJ59" s="702" t="e">
        <f>COUNTIFS([1]!CampList[Township],$AI59,[1]!CampList[Status],"open",[1]!CampList[Total],"&lt;=100",[1]!CampList[Affected Population],"IDP")</f>
        <v>#REF!</v>
      </c>
      <c r="AK59" s="702" t="e">
        <f>COUNTIFS([1]!CampList[Township],$AI59,[1]!CampList[Status],"open",[1]!CampList[Total],"&gt;100",[1]!CampList[Total],"&lt;=1000",[1]!CampList[Affected Population],"IDP")</f>
        <v>#REF!</v>
      </c>
      <c r="AL59" s="702" t="e">
        <f>COUNTIFS([1]!CampList[Township],$AI59,[1]!CampList[Status],"open",[1]!CampList[Total],"&gt;1000",[1]!CampList[Total],"&lt;=5000",[1]!CampList[Affected Population],"IDP")</f>
        <v>#REF!</v>
      </c>
      <c r="AM59" s="702" t="e">
        <f>COUNTIFS([1]!CampList[Township],$AI59,[1]!CampList[Status],"open",[1]!CampList[Total],"&gt;5000",[1]!CampList[Total],"&lt;=100000",[1]!CampList[Affected Population],"IDP")</f>
        <v>#REF!</v>
      </c>
      <c r="AN59" s="687" t="e">
        <f>COUNTIFS([1]!CampList[Township],#REF!,[1]!CampList[Status],"open",[1]!CampList[Total],"",[1]!CampList[Affected Population],"IDP")</f>
        <v>#REF!</v>
      </c>
      <c r="AO59" s="715" t="e">
        <f t="shared" si="1"/>
        <v>#REF!</v>
      </c>
      <c r="AU59" s="686"/>
      <c r="AV59" s="686"/>
      <c r="AW59" s="686"/>
      <c r="AX59" s="686"/>
      <c r="AY59" s="686"/>
      <c r="AZ59" s="359"/>
      <c r="BA59" s="359"/>
    </row>
    <row r="60" spans="1:53" s="687" customFormat="1" x14ac:dyDescent="0.25">
      <c r="A60" s="219"/>
      <c r="B60" s="219"/>
      <c r="C60" s="219"/>
      <c r="D60" s="219"/>
      <c r="E60" s="219"/>
      <c r="F60" s="219"/>
      <c r="G60" s="219"/>
      <c r="H60" s="219"/>
      <c r="I60" s="219"/>
      <c r="J60" s="219"/>
      <c r="K60" s="219"/>
      <c r="L60" s="219"/>
      <c r="M60" s="219"/>
      <c r="N60" s="219"/>
      <c r="O60" s="219"/>
      <c r="P60" s="219"/>
      <c r="Q60" s="219"/>
      <c r="R60" s="219"/>
      <c r="S60" s="219"/>
      <c r="T60" s="219"/>
      <c r="U60" s="359"/>
      <c r="V60" s="359"/>
      <c r="W60" s="686"/>
      <c r="X60" s="686"/>
      <c r="Y60" s="686"/>
      <c r="Z60" s="686"/>
      <c r="AA60" s="686"/>
      <c r="AB60" s="686"/>
      <c r="AC60" s="686"/>
      <c r="AD60" s="686"/>
      <c r="AE60" s="686"/>
      <c r="AF60" s="686"/>
      <c r="AG60" s="686"/>
      <c r="AI60" s="687" t="s">
        <v>237</v>
      </c>
      <c r="AJ60" s="702" t="e">
        <f>COUNTIFS([1]!CampList[Township],$AI60,[1]!CampList[Status],"open",[1]!CampList[Total],"&lt;=100",[1]!CampList[Affected Population],"IDP")</f>
        <v>#REF!</v>
      </c>
      <c r="AK60" s="702" t="e">
        <f>COUNTIFS([1]!CampList[Township],$AI60,[1]!CampList[Status],"open",[1]!CampList[Total],"&gt;100",[1]!CampList[Total],"&lt;=1000",[1]!CampList[Affected Population],"IDP")</f>
        <v>#REF!</v>
      </c>
      <c r="AL60" s="702" t="e">
        <f>COUNTIFS([1]!CampList[Township],$AI60,[1]!CampList[Status],"open",[1]!CampList[Total],"&gt;1000",[1]!CampList[Total],"&lt;=5000",[1]!CampList[Affected Population],"IDP")</f>
        <v>#REF!</v>
      </c>
      <c r="AM60" s="702" t="e">
        <f>COUNTIFS([1]!CampList[Township],$AI60,[1]!CampList[Status],"open",[1]!CampList[Total],"&gt;5000",[1]!CampList[Total],"&lt;=100000",[1]!CampList[Affected Population],"IDP")</f>
        <v>#REF!</v>
      </c>
      <c r="AN60" s="687" t="e">
        <f>COUNTIFS([1]!CampList[Township],#REF!,[1]!CampList[Status],"open",[1]!CampList[Total],"",[1]!CampList[Affected Population],"IDP")</f>
        <v>#REF!</v>
      </c>
      <c r="AO60" s="715" t="e">
        <f t="shared" si="1"/>
        <v>#REF!</v>
      </c>
      <c r="AU60" s="686"/>
      <c r="AV60" s="686"/>
      <c r="AW60" s="686"/>
      <c r="AX60" s="686"/>
      <c r="AY60" s="686"/>
      <c r="AZ60" s="359"/>
      <c r="BA60" s="359"/>
    </row>
    <row r="61" spans="1:53" s="687" customFormat="1" x14ac:dyDescent="0.25">
      <c r="A61" s="219"/>
      <c r="B61" s="219"/>
      <c r="C61" s="219"/>
      <c r="D61" s="219"/>
      <c r="E61" s="219"/>
      <c r="F61" s="219"/>
      <c r="G61" s="219"/>
      <c r="H61" s="219"/>
      <c r="I61" s="219"/>
      <c r="J61" s="219"/>
      <c r="K61" s="219"/>
      <c r="L61" s="219"/>
      <c r="M61" s="219"/>
      <c r="N61" s="219"/>
      <c r="O61" s="219"/>
      <c r="P61" s="219"/>
      <c r="Q61" s="219"/>
      <c r="R61" s="219"/>
      <c r="S61" s="219"/>
      <c r="T61" s="219"/>
      <c r="U61" s="359"/>
      <c r="V61" s="359"/>
      <c r="W61" s="686"/>
      <c r="X61" s="686"/>
      <c r="Y61" s="686"/>
      <c r="Z61" s="686"/>
      <c r="AA61" s="686"/>
      <c r="AB61" s="686"/>
      <c r="AC61" s="686"/>
      <c r="AD61" s="686"/>
      <c r="AE61" s="686"/>
      <c r="AF61" s="686"/>
      <c r="AG61" s="686"/>
      <c r="AI61" s="687" t="s">
        <v>288</v>
      </c>
      <c r="AJ61" s="702" t="e">
        <f>COUNTIFS([1]!CampList[Township],$AI61,[1]!CampList[Status],"open",[1]!CampList[Total],"&lt;=100",[1]!CampList[Affected Population],"IDP")</f>
        <v>#REF!</v>
      </c>
      <c r="AK61" s="702" t="e">
        <f>COUNTIFS([1]!CampList[Township],$AI61,[1]!CampList[Status],"open",[1]!CampList[Total],"&gt;100",[1]!CampList[Total],"&lt;=1000",[1]!CampList[Affected Population],"IDP")</f>
        <v>#REF!</v>
      </c>
      <c r="AL61" s="702" t="e">
        <f>COUNTIFS([1]!CampList[Township],$AI61,[1]!CampList[Status],"open",[1]!CampList[Total],"&gt;1000",[1]!CampList[Total],"&lt;=5000",[1]!CampList[Affected Population],"IDP")</f>
        <v>#REF!</v>
      </c>
      <c r="AM61" s="702" t="e">
        <f>COUNTIFS([1]!CampList[Township],$AI61,[1]!CampList[Status],"open",[1]!CampList[Total],"&gt;5000",[1]!CampList[Total],"&lt;=100000",[1]!CampList[Affected Population],"IDP")</f>
        <v>#REF!</v>
      </c>
      <c r="AN61" s="687" t="e">
        <f>COUNTIFS([1]!CampList[Township],#REF!,[1]!CampList[Status],"open",[1]!CampList[Total],"",[1]!CampList[Affected Population],"IDP")</f>
        <v>#REF!</v>
      </c>
      <c r="AO61" s="715" t="e">
        <f t="shared" si="1"/>
        <v>#REF!</v>
      </c>
      <c r="AU61" s="686"/>
      <c r="AV61" s="686"/>
      <c r="AW61" s="686"/>
      <c r="AX61" s="686"/>
      <c r="AY61" s="686"/>
      <c r="AZ61" s="359"/>
      <c r="BA61" s="359"/>
    </row>
    <row r="62" spans="1:53" s="687" customFormat="1" x14ac:dyDescent="0.25">
      <c r="A62" s="219"/>
      <c r="B62" s="219"/>
      <c r="C62" s="219"/>
      <c r="D62" s="219"/>
      <c r="E62" s="219"/>
      <c r="F62" s="219"/>
      <c r="G62" s="219"/>
      <c r="H62" s="219"/>
      <c r="I62" s="219"/>
      <c r="J62" s="219"/>
      <c r="K62" s="219"/>
      <c r="L62" s="219"/>
      <c r="M62" s="219"/>
      <c r="N62" s="219"/>
      <c r="O62" s="219"/>
      <c r="P62" s="219"/>
      <c r="Q62" s="219"/>
      <c r="R62" s="219"/>
      <c r="S62" s="219"/>
      <c r="T62" s="219"/>
      <c r="U62" s="359"/>
      <c r="V62" s="359"/>
      <c r="W62" s="686"/>
      <c r="X62" s="686"/>
      <c r="Y62" s="686"/>
      <c r="Z62" s="686"/>
      <c r="AA62" s="686"/>
      <c r="AB62" s="686"/>
      <c r="AC62" s="686"/>
      <c r="AD62" s="686"/>
      <c r="AE62" s="686"/>
      <c r="AF62" s="686"/>
      <c r="AG62" s="686"/>
      <c r="AI62" s="687" t="s">
        <v>297</v>
      </c>
      <c r="AJ62" s="702" t="e">
        <f>COUNTIFS([1]!CampList[Township],$AI62,[1]!CampList[Status],"open",[1]!CampList[Total],"&lt;=100",[1]!CampList[Affected Population],"IDP")</f>
        <v>#REF!</v>
      </c>
      <c r="AK62" s="702" t="e">
        <f>COUNTIFS([1]!CampList[Township],$AI62,[1]!CampList[Status],"open",[1]!CampList[Total],"&gt;100",[1]!CampList[Total],"&lt;=1000",[1]!CampList[Affected Population],"IDP")</f>
        <v>#REF!</v>
      </c>
      <c r="AL62" s="702" t="e">
        <f>COUNTIFS([1]!CampList[Township],$AI62,[1]!CampList[Status],"open",[1]!CampList[Total],"&gt;1000",[1]!CampList[Total],"&lt;=5000",[1]!CampList[Affected Population],"IDP")</f>
        <v>#REF!</v>
      </c>
      <c r="AM62" s="702" t="e">
        <f>COUNTIFS([1]!CampList[Township],$AI62,[1]!CampList[Status],"open",[1]!CampList[Total],"&gt;5000",[1]!CampList[Total],"&lt;=100000",[1]!CampList[Affected Population],"IDP")</f>
        <v>#REF!</v>
      </c>
      <c r="AN62" s="687" t="e">
        <f>COUNTIFS([1]!CampList[Township],#REF!,[1]!CampList[Status],"open",[1]!CampList[Total],"",[1]!CampList[Affected Population],"IDP")</f>
        <v>#REF!</v>
      </c>
      <c r="AO62" s="715" t="e">
        <f t="shared" si="1"/>
        <v>#REF!</v>
      </c>
      <c r="AU62" s="686"/>
      <c r="AV62" s="686"/>
      <c r="AW62" s="686"/>
      <c r="AX62" s="686"/>
      <c r="AY62" s="686"/>
      <c r="AZ62" s="359"/>
      <c r="BA62" s="359"/>
    </row>
    <row r="63" spans="1:53" s="687" customFormat="1" x14ac:dyDescent="0.25">
      <c r="A63" s="219"/>
      <c r="B63" s="219"/>
      <c r="C63" s="219"/>
      <c r="D63" s="219"/>
      <c r="E63" s="219"/>
      <c r="F63" s="219"/>
      <c r="G63" s="219"/>
      <c r="H63" s="219"/>
      <c r="I63" s="219"/>
      <c r="J63" s="219"/>
      <c r="K63" s="219"/>
      <c r="L63" s="219"/>
      <c r="M63" s="219"/>
      <c r="N63" s="219"/>
      <c r="O63" s="219"/>
      <c r="P63" s="219"/>
      <c r="Q63" s="219"/>
      <c r="R63" s="219"/>
      <c r="S63" s="219"/>
      <c r="T63" s="219"/>
      <c r="U63" s="359"/>
      <c r="V63" s="359"/>
      <c r="W63" s="686"/>
      <c r="X63" s="686"/>
      <c r="Y63" s="686"/>
      <c r="Z63" s="686"/>
      <c r="AA63" s="686"/>
      <c r="AB63" s="686"/>
      <c r="AC63" s="686"/>
      <c r="AD63" s="686"/>
      <c r="AE63" s="686"/>
      <c r="AF63" s="686"/>
      <c r="AG63" s="686"/>
      <c r="AI63" s="687" t="s">
        <v>299</v>
      </c>
      <c r="AJ63" s="702" t="e">
        <f>COUNTIFS([1]!CampList[Township],$AI63,[1]!CampList[Status],"open",[1]!CampList[Total],"&lt;=100",[1]!CampList[Affected Population],"IDP")</f>
        <v>#REF!</v>
      </c>
      <c r="AK63" s="702" t="e">
        <f>COUNTIFS([1]!CampList[Township],$AI63,[1]!CampList[Status],"open",[1]!CampList[Total],"&gt;100",[1]!CampList[Total],"&lt;=1000",[1]!CampList[Affected Population],"IDP")</f>
        <v>#REF!</v>
      </c>
      <c r="AL63" s="702" t="e">
        <f>COUNTIFS([1]!CampList[Township],$AI63,[1]!CampList[Status],"open",[1]!CampList[Total],"&gt;1000",[1]!CampList[Total],"&lt;=5000",[1]!CampList[Affected Population],"IDP")</f>
        <v>#REF!</v>
      </c>
      <c r="AM63" s="702" t="e">
        <f>COUNTIFS([1]!CampList[Township],$AI63,[1]!CampList[Status],"open",[1]!CampList[Total],"&gt;5000",[1]!CampList[Total],"&lt;=100000",[1]!CampList[Affected Population],"IDP")</f>
        <v>#REF!</v>
      </c>
      <c r="AN63" s="687" t="e">
        <f>COUNTIFS([1]!CampList[Township],#REF!,[1]!CampList[Status],"open",[1]!CampList[Total],"",[1]!CampList[Affected Population],"IDP")</f>
        <v>#REF!</v>
      </c>
      <c r="AO63" s="715" t="e">
        <f t="shared" si="1"/>
        <v>#REF!</v>
      </c>
      <c r="AU63" s="686"/>
      <c r="AV63" s="686"/>
      <c r="AW63" s="686"/>
      <c r="AX63" s="686"/>
      <c r="AY63" s="686"/>
      <c r="AZ63" s="359"/>
      <c r="BA63" s="359"/>
    </row>
    <row r="64" spans="1:53" s="687" customFormat="1" x14ac:dyDescent="0.25">
      <c r="A64" s="219"/>
      <c r="B64" s="219"/>
      <c r="C64" s="219"/>
      <c r="D64" s="219"/>
      <c r="E64" s="219"/>
      <c r="F64" s="219"/>
      <c r="G64" s="219"/>
      <c r="H64" s="219"/>
      <c r="I64" s="219"/>
      <c r="J64" s="219"/>
      <c r="K64" s="219"/>
      <c r="L64" s="219"/>
      <c r="M64" s="219"/>
      <c r="N64" s="219"/>
      <c r="O64" s="219"/>
      <c r="P64" s="219"/>
      <c r="Q64" s="219"/>
      <c r="R64" s="219"/>
      <c r="S64" s="219"/>
      <c r="T64" s="219"/>
      <c r="U64" s="359"/>
      <c r="V64" s="359"/>
      <c r="W64" s="686"/>
      <c r="X64" s="686"/>
      <c r="Y64" s="686"/>
      <c r="Z64" s="686"/>
      <c r="AA64" s="686"/>
      <c r="AB64" s="686"/>
      <c r="AC64" s="686"/>
      <c r="AD64" s="686"/>
      <c r="AE64" s="686"/>
      <c r="AF64" s="686"/>
      <c r="AG64" s="686"/>
      <c r="AI64" s="687" t="s">
        <v>301</v>
      </c>
      <c r="AJ64" s="702" t="e">
        <f>COUNTIFS([1]!CampList[Township],$AI64,[1]!CampList[Status],"open",[1]!CampList[Total],"&lt;=100",[1]!CampList[Affected Population],"IDP")</f>
        <v>#REF!</v>
      </c>
      <c r="AK64" s="702" t="e">
        <f>COUNTIFS([1]!CampList[Township],$AI64,[1]!CampList[Status],"open",[1]!CampList[Total],"&gt;100",[1]!CampList[Total],"&lt;=1000",[1]!CampList[Affected Population],"IDP")</f>
        <v>#REF!</v>
      </c>
      <c r="AL64" s="702" t="e">
        <f>COUNTIFS([1]!CampList[Township],$AI64,[1]!CampList[Status],"open",[1]!CampList[Total],"&gt;1000",[1]!CampList[Total],"&lt;=5000",[1]!CampList[Affected Population],"IDP")</f>
        <v>#REF!</v>
      </c>
      <c r="AM64" s="702" t="e">
        <f>COUNTIFS([1]!CampList[Township],$AI64,[1]!CampList[Status],"open",[1]!CampList[Total],"&gt;5000",[1]!CampList[Total],"&lt;=100000",[1]!CampList[Affected Population],"IDP")</f>
        <v>#REF!</v>
      </c>
      <c r="AN64" s="687" t="e">
        <f>COUNTIFS([1]!CampList[Township],#REF!,[1]!CampList[Status],"open",[1]!CampList[Total],"",[1]!CampList[Affected Population],"IDP")</f>
        <v>#REF!</v>
      </c>
      <c r="AO64" s="715" t="e">
        <f t="shared" si="1"/>
        <v>#REF!</v>
      </c>
      <c r="AU64" s="686"/>
      <c r="AV64" s="686"/>
      <c r="AW64" s="686"/>
      <c r="AX64" s="686"/>
      <c r="AY64" s="686"/>
      <c r="AZ64" s="359"/>
      <c r="BA64" s="359"/>
    </row>
    <row r="65" spans="1:53" s="686" customFormat="1" x14ac:dyDescent="0.25">
      <c r="A65" s="219"/>
      <c r="B65" s="219"/>
      <c r="C65" s="219"/>
      <c r="D65" s="219"/>
      <c r="E65" s="219"/>
      <c r="F65" s="219"/>
      <c r="G65" s="219"/>
      <c r="H65" s="219"/>
      <c r="I65" s="219"/>
      <c r="J65" s="219"/>
      <c r="K65" s="219"/>
      <c r="L65" s="219"/>
      <c r="M65" s="219"/>
      <c r="N65" s="219"/>
      <c r="O65" s="219"/>
      <c r="P65" s="219"/>
      <c r="Q65" s="219"/>
      <c r="R65" s="219"/>
      <c r="S65" s="219"/>
      <c r="T65" s="219"/>
      <c r="U65" s="359"/>
      <c r="V65" s="359"/>
      <c r="AH65" s="687"/>
      <c r="AI65" s="687" t="s">
        <v>748</v>
      </c>
      <c r="AJ65" s="702" t="e">
        <f>COUNTIFS([1]!CampList[Township],$AI65,[1]!CampList[Status],"open",[1]!CampList[Total],"&lt;=100",[1]!CampList[Affected Population],"IDP")</f>
        <v>#REF!</v>
      </c>
      <c r="AK65" s="702" t="e">
        <f>COUNTIFS([1]!CampList[Township],$AI65,[1]!CampList[Status],"open",[1]!CampList[Total],"&gt;100",[1]!CampList[Total],"&lt;=1000",[1]!CampList[Affected Population],"IDP")</f>
        <v>#REF!</v>
      </c>
      <c r="AL65" s="702" t="e">
        <f>COUNTIFS([1]!CampList[Township],$AI65,[1]!CampList[Status],"open",[1]!CampList[Total],"&gt;1000",[1]!CampList[Total],"&lt;=5000",[1]!CampList[Affected Population],"IDP")</f>
        <v>#REF!</v>
      </c>
      <c r="AM65" s="702" t="e">
        <f>COUNTIFS([1]!CampList[Township],$AI65,[1]!CampList[Status],"open",[1]!CampList[Total],"&gt;5000",[1]!CampList[Total],"&lt;=100000",[1]!CampList[Affected Population],"IDP")</f>
        <v>#REF!</v>
      </c>
      <c r="AN65" s="687" t="e">
        <f>COUNTIFS([1]!CampList[Township],#REF!,[1]!CampList[Status],"open",[1]!CampList[Total],"",[1]!CampList[Affected Population],"IDP")</f>
        <v>#REF!</v>
      </c>
      <c r="AO65" s="715" t="e">
        <f t="shared" si="1"/>
        <v>#REF!</v>
      </c>
      <c r="AP65" s="687"/>
      <c r="AQ65" s="687"/>
      <c r="AR65" s="687"/>
      <c r="AS65" s="687"/>
      <c r="AT65" s="687"/>
      <c r="AZ65" s="359"/>
      <c r="BA65" s="359"/>
    </row>
    <row r="66" spans="1:53" s="686" customFormat="1" x14ac:dyDescent="0.25">
      <c r="A66" s="219"/>
      <c r="B66" s="219"/>
      <c r="C66" s="219"/>
      <c r="D66" s="219"/>
      <c r="E66" s="219"/>
      <c r="F66" s="219"/>
      <c r="G66" s="219"/>
      <c r="H66" s="219"/>
      <c r="I66" s="219"/>
      <c r="J66" s="219"/>
      <c r="K66" s="219"/>
      <c r="L66" s="219"/>
      <c r="M66" s="219"/>
      <c r="N66" s="219"/>
      <c r="O66" s="219"/>
      <c r="P66" s="219"/>
      <c r="Q66" s="219"/>
      <c r="R66" s="219"/>
      <c r="S66" s="219"/>
      <c r="T66" s="219"/>
      <c r="U66" s="359"/>
      <c r="V66" s="359"/>
      <c r="AH66" s="687"/>
      <c r="AI66" s="687" t="s">
        <v>309</v>
      </c>
      <c r="AJ66" s="702" t="e">
        <f>COUNTIFS([1]!CampList[Township],$AI66,[1]!CampList[Status],"open",[1]!CampList[Total],"&lt;=100",[1]!CampList[Affected Population],"IDP")</f>
        <v>#REF!</v>
      </c>
      <c r="AK66" s="702" t="e">
        <f>COUNTIFS([1]!CampList[Township],$AI66,[1]!CampList[Status],"open",[1]!CampList[Total],"&gt;100",[1]!CampList[Total],"&lt;=1000",[1]!CampList[Affected Population],"IDP")</f>
        <v>#REF!</v>
      </c>
      <c r="AL66" s="702" t="e">
        <f>COUNTIFS([1]!CampList[Township],$AI66,[1]!CampList[Status],"open",[1]!CampList[Total],"&gt;1000",[1]!CampList[Total],"&lt;=5000",[1]!CampList[Affected Population],"IDP")</f>
        <v>#REF!</v>
      </c>
      <c r="AM66" s="702" t="e">
        <f>COUNTIFS([1]!CampList[Township],$AI66,[1]!CampList[Status],"open",[1]!CampList[Total],"&gt;5000",[1]!CampList[Total],"&lt;=100000",[1]!CampList[Affected Population],"IDP")</f>
        <v>#REF!</v>
      </c>
      <c r="AN66" s="687" t="e">
        <f>COUNTIFS([1]!CampList[Township],#REF!,[1]!CampList[Status],"open",[1]!CampList[Total],"",[1]!CampList[Affected Population],"IDP")</f>
        <v>#REF!</v>
      </c>
      <c r="AO66" s="715" t="e">
        <f>SUM(AJ66:AN66)</f>
        <v>#REF!</v>
      </c>
      <c r="AP66" s="687"/>
      <c r="AQ66" s="687"/>
      <c r="AR66" s="687"/>
      <c r="AS66" s="687"/>
      <c r="AT66" s="687"/>
      <c r="AZ66" s="359"/>
      <c r="BA66" s="359"/>
    </row>
    <row r="67" spans="1:53" s="359" customFormat="1" x14ac:dyDescent="0.25">
      <c r="AH67" s="224"/>
      <c r="AI67" s="686" t="s">
        <v>819</v>
      </c>
      <c r="AJ67" s="702" t="e">
        <f>COUNTIFS([1]!CampList[Township],$AI67,[1]!CampList[Status],"open",[1]!CampList[Total],"&lt;=100",[1]!CampList[Affected Population],"IDP")</f>
        <v>#REF!</v>
      </c>
      <c r="AK67" s="702" t="e">
        <f>COUNTIFS([1]!CampList[Township],$AI67,[1]!CampList[Status],"open",[1]!CampList[Total],"&gt;100",[1]!CampList[Total],"&lt;=1000",[1]!CampList[Affected Population],"IDP")</f>
        <v>#REF!</v>
      </c>
      <c r="AL67" s="702" t="e">
        <f>COUNTIFS([1]!CampList[Township],$AI67,[1]!CampList[Status],"open",[1]!CampList[Total],"&gt;1000",[1]!CampList[Total],"&lt;=5000",[1]!CampList[Affected Population],"IDP")</f>
        <v>#REF!</v>
      </c>
      <c r="AM67" s="702" t="e">
        <f>COUNTIFS([1]!CampList[Township],$AI67,[1]!CampList[Status],"open",[1]!CampList[Total],"&gt;5000",[1]!CampList[Total],"&lt;=100000",[1]!CampList[Affected Population],"IDP")</f>
        <v>#REF!</v>
      </c>
      <c r="AN67" s="687" t="e">
        <f>COUNTIFS([1]!CampList[Township],#REF!,[1]!CampList[Status],"open",[1]!CampList[Total],"",[1]!CampList[Affected Population],"IDP")</f>
        <v>#REF!</v>
      </c>
      <c r="AO67" s="715" t="e">
        <f>SUM(AJ67:AN67)</f>
        <v>#REF!</v>
      </c>
      <c r="AP67" s="224"/>
      <c r="AQ67" s="224"/>
      <c r="AR67" s="224"/>
      <c r="AS67" s="224"/>
      <c r="AT67" s="224"/>
    </row>
    <row r="68" spans="1:53" s="686" customFormat="1" x14ac:dyDescent="0.25">
      <c r="A68" s="219"/>
      <c r="B68" s="219"/>
      <c r="C68" s="219"/>
      <c r="D68" s="219"/>
      <c r="E68" s="219"/>
      <c r="F68" s="219"/>
      <c r="G68" s="219"/>
      <c r="H68" s="219"/>
      <c r="I68" s="219"/>
      <c r="J68" s="219"/>
      <c r="K68" s="219"/>
      <c r="L68" s="219"/>
      <c r="M68" s="219"/>
      <c r="N68" s="219"/>
      <c r="O68" s="219"/>
      <c r="P68" s="219"/>
      <c r="Q68" s="219"/>
      <c r="R68" s="219"/>
      <c r="S68" s="219"/>
      <c r="T68" s="219"/>
      <c r="U68" s="359"/>
      <c r="V68" s="359"/>
      <c r="AH68" s="687"/>
      <c r="AI68" s="687" t="s">
        <v>1165</v>
      </c>
      <c r="AJ68" s="702" t="e">
        <f>COUNTIFS([1]!CampList[Township],$AI68,[1]!CampList[Status],"open",[1]!CampList[Total],"&lt;=100",[1]!CampList[Affected Population],"IDP")</f>
        <v>#REF!</v>
      </c>
      <c r="AK68" s="702" t="e">
        <f>COUNTIFS([1]!CampList[Township],$AI68,[1]!CampList[Status],"open",[1]!CampList[Total],"&gt;100",[1]!CampList[Total],"&lt;=1000",[1]!CampList[Affected Population],"IDP")</f>
        <v>#REF!</v>
      </c>
      <c r="AL68" s="702" t="e">
        <f>COUNTIFS([1]!CampList[Township],$AI68,[1]!CampList[Status],"open",[1]!CampList[Total],"&gt;1000",[1]!CampList[Total],"&lt;=5000",[1]!CampList[Affected Population],"IDP")</f>
        <v>#REF!</v>
      </c>
      <c r="AM68" s="702" t="e">
        <f>COUNTIFS([1]!CampList[Township],$AI68,[1]!CampList[Status],"open",[1]!CampList[Total],"&gt;5000",[1]!CampList[Total],"&lt;=100000",[1]!CampList[Affected Population],"IDP")</f>
        <v>#REF!</v>
      </c>
      <c r="AN68" s="687" t="e">
        <f>COUNTIFS([1]!CampList[Township],#REF!,[1]!CampList[Status],"open",[1]!CampList[Total],"",[1]!CampList[Affected Population],"IDP")</f>
        <v>#REF!</v>
      </c>
      <c r="AO68" s="715" t="e">
        <f>SUM(AJ68:AN68)</f>
        <v>#REF!</v>
      </c>
      <c r="AP68" s="687"/>
      <c r="AQ68" s="687"/>
      <c r="AR68" s="687"/>
      <c r="AS68" s="687"/>
      <c r="AT68" s="687"/>
      <c r="AZ68" s="359"/>
      <c r="BA68" s="359"/>
    </row>
    <row r="69" spans="1:53" s="686" customFormat="1" x14ac:dyDescent="0.25">
      <c r="A69" s="219"/>
      <c r="B69" s="219"/>
      <c r="C69" s="219"/>
      <c r="D69" s="219"/>
      <c r="E69" s="219"/>
      <c r="F69" s="219"/>
      <c r="G69" s="219"/>
      <c r="H69" s="219"/>
      <c r="I69" s="219"/>
      <c r="J69" s="219"/>
      <c r="K69" s="219"/>
      <c r="L69" s="219"/>
      <c r="M69" s="219"/>
      <c r="N69" s="219"/>
      <c r="O69" s="219"/>
      <c r="P69" s="219"/>
      <c r="Q69" s="219"/>
      <c r="R69" s="219"/>
      <c r="S69" s="219"/>
      <c r="T69" s="219"/>
      <c r="U69" s="359"/>
      <c r="V69" s="359"/>
      <c r="AH69" s="687"/>
      <c r="AI69" s="687" t="s">
        <v>1230</v>
      </c>
      <c r="AJ69" s="702" t="e">
        <f>COUNTIFS([1]!CampList[Township],$AI69,[1]!CampList[Status],"open",[1]!CampList[Total],"&lt;=100",[1]!CampList[Affected Population],"IDP")</f>
        <v>#REF!</v>
      </c>
      <c r="AK69" s="702" t="e">
        <f>COUNTIFS([1]!CampList[Township],$AI69,[1]!CampList[Status],"open",[1]!CampList[Total],"&gt;100",[1]!CampList[Total],"&lt;=1000",[1]!CampList[Affected Population],"IDP")</f>
        <v>#REF!</v>
      </c>
      <c r="AL69" s="702" t="e">
        <f>COUNTIFS([1]!CampList[Township],$AI69,[1]!CampList[Status],"open",[1]!CampList[Total],"&gt;1000",[1]!CampList[Total],"&lt;=5000",[1]!CampList[Affected Population],"IDP")</f>
        <v>#REF!</v>
      </c>
      <c r="AM69" s="702" t="e">
        <f>COUNTIFS([1]!CampList[Township],$AI69,[1]!CampList[Status],"open",[1]!CampList[Total],"&gt;5000",[1]!CampList[Total],"&lt;=100000",[1]!CampList[Affected Population],"IDP")</f>
        <v>#REF!</v>
      </c>
      <c r="AN69" s="687" t="e">
        <f>COUNTIFS([1]!CampList[Township],#REF!,[1]!CampList[Status],"open",[1]!CampList[Total],"",[1]!CampList[Affected Population],"IDP")</f>
        <v>#REF!</v>
      </c>
      <c r="AO69" s="715" t="e">
        <f>SUM(AJ69:AN69)</f>
        <v>#REF!</v>
      </c>
      <c r="AP69" s="687"/>
      <c r="AQ69" s="687"/>
      <c r="AR69" s="687"/>
      <c r="AS69" s="687"/>
      <c r="AT69" s="687"/>
      <c r="AZ69" s="359"/>
      <c r="BA69" s="359"/>
    </row>
    <row r="70" spans="1:53" s="686" customFormat="1" x14ac:dyDescent="0.25">
      <c r="A70" s="219"/>
      <c r="B70" s="219"/>
      <c r="C70" s="219"/>
      <c r="D70" s="219"/>
      <c r="E70" s="219"/>
      <c r="F70" s="219"/>
      <c r="G70" s="219"/>
      <c r="H70" s="219"/>
      <c r="I70" s="219"/>
      <c r="J70" s="219"/>
      <c r="K70" s="219"/>
      <c r="L70" s="219"/>
      <c r="M70" s="219"/>
      <c r="N70" s="219"/>
      <c r="O70" s="219"/>
      <c r="P70" s="219"/>
      <c r="Q70" s="219"/>
      <c r="R70" s="219"/>
      <c r="S70" s="219"/>
      <c r="T70" s="219"/>
      <c r="U70" s="359"/>
      <c r="V70" s="359"/>
      <c r="AH70" s="687"/>
      <c r="AI70" s="687" t="s">
        <v>3</v>
      </c>
      <c r="AJ70" s="711" t="e">
        <f>SUM(AJ46:AJ69)</f>
        <v>#REF!</v>
      </c>
      <c r="AK70" s="711" t="e">
        <f>SUM(AK46:AK69)</f>
        <v>#REF!</v>
      </c>
      <c r="AL70" s="711" t="e">
        <f>SUM(AL46:AL69)</f>
        <v>#REF!</v>
      </c>
      <c r="AM70" s="711" t="e">
        <f>SUM(AM46:AM69)</f>
        <v>#REF!</v>
      </c>
      <c r="AN70" s="711" t="e">
        <f>SUM(AN46:AN69)</f>
        <v>#REF!</v>
      </c>
      <c r="AO70" s="715" t="e">
        <f>SUM(AJ70:AN70)</f>
        <v>#REF!</v>
      </c>
      <c r="AP70" s="687"/>
      <c r="AQ70" s="687"/>
      <c r="AR70" s="687"/>
      <c r="AS70" s="687"/>
      <c r="AT70" s="687"/>
      <c r="AZ70" s="359"/>
      <c r="BA70" s="359"/>
    </row>
    <row r="98" spans="1:53" s="686" customFormat="1" x14ac:dyDescent="0.25">
      <c r="A98" s="219"/>
      <c r="B98" s="219"/>
      <c r="C98" s="219"/>
      <c r="D98" s="219"/>
      <c r="E98" s="219"/>
      <c r="F98" s="219"/>
      <c r="G98" s="219"/>
      <c r="H98" s="219"/>
      <c r="I98" s="219"/>
      <c r="J98" s="219"/>
      <c r="K98" s="219"/>
      <c r="L98" s="219"/>
      <c r="M98" s="219"/>
      <c r="N98" s="219"/>
      <c r="O98" s="219"/>
      <c r="P98" s="219"/>
      <c r="Q98" s="219"/>
      <c r="R98" s="219"/>
      <c r="S98" s="219"/>
      <c r="T98" s="219"/>
      <c r="U98" s="359"/>
      <c r="V98" s="359"/>
      <c r="Y98" s="722"/>
      <c r="AA98" s="722"/>
      <c r="AH98" s="687"/>
      <c r="AI98" s="687"/>
      <c r="AJ98" s="687"/>
      <c r="AK98" s="687"/>
      <c r="AL98" s="687"/>
      <c r="AM98" s="687"/>
      <c r="AN98" s="687"/>
      <c r="AO98" s="687"/>
      <c r="AP98" s="687"/>
      <c r="AQ98" s="687"/>
      <c r="AR98" s="687"/>
      <c r="AS98" s="687"/>
      <c r="AT98" s="687"/>
      <c r="AZ98" s="359"/>
      <c r="BA98" s="359"/>
    </row>
    <row r="99" spans="1:53" s="686" customFormat="1" x14ac:dyDescent="0.25">
      <c r="A99" s="219"/>
      <c r="B99" s="219"/>
      <c r="C99" s="219"/>
      <c r="D99" s="219"/>
      <c r="E99" s="219"/>
      <c r="F99" s="219"/>
      <c r="G99" s="219"/>
      <c r="H99" s="219"/>
      <c r="I99" s="219"/>
      <c r="J99" s="219"/>
      <c r="K99" s="219"/>
      <c r="L99" s="219"/>
      <c r="M99" s="219"/>
      <c r="N99" s="219"/>
      <c r="O99" s="219"/>
      <c r="P99" s="219"/>
      <c r="Q99" s="219"/>
      <c r="R99" s="219"/>
      <c r="S99" s="219"/>
      <c r="T99" s="219"/>
      <c r="U99" s="359"/>
      <c r="V99" s="359"/>
      <c r="Y99" s="722"/>
      <c r="AH99" s="687"/>
      <c r="AI99" s="687"/>
      <c r="AJ99" s="687"/>
      <c r="AK99" s="687"/>
      <c r="AL99" s="687"/>
      <c r="AM99" s="687"/>
      <c r="AN99" s="687"/>
      <c r="AO99" s="687"/>
      <c r="AP99" s="687"/>
      <c r="AQ99" s="687"/>
      <c r="AR99" s="687"/>
      <c r="AS99" s="687"/>
      <c r="AT99" s="687"/>
      <c r="AZ99" s="359"/>
      <c r="BA99" s="359"/>
    </row>
    <row r="100" spans="1:53" s="686" customForma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359"/>
      <c r="V100" s="359"/>
      <c r="Y100" s="722"/>
      <c r="AH100" s="687"/>
      <c r="AI100" s="687"/>
      <c r="AJ100" s="687"/>
      <c r="AK100" s="687"/>
      <c r="AL100" s="687"/>
      <c r="AM100" s="687"/>
      <c r="AN100" s="687"/>
      <c r="AO100" s="687"/>
      <c r="AP100" s="687"/>
      <c r="AQ100" s="687"/>
      <c r="AR100" s="687"/>
      <c r="AS100" s="687"/>
      <c r="AT100" s="687"/>
      <c r="AZ100" s="359"/>
      <c r="BA100" s="359"/>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5" customWidth="1"/>
    <col min="21" max="21" width="19.28515625" style="55" customWidth="1"/>
    <col min="22" max="23" width="9.28515625" style="55" customWidth="1"/>
    <col min="24" max="24" width="15" style="55" customWidth="1"/>
    <col min="25" max="25" width="15.5703125" style="55" customWidth="1"/>
    <col min="26" max="26" width="17.28515625" style="55" customWidth="1"/>
    <col min="27" max="27" width="24.7109375" style="55" customWidth="1"/>
    <col min="28" max="30" width="9.28515625" style="55" customWidth="1"/>
    <col min="31" max="31" width="11.28515625" style="55" customWidth="1"/>
    <col min="32" max="32" width="12.140625" style="55" customWidth="1"/>
    <col min="33" max="33" width="13" style="55"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51" t="s">
        <v>508</v>
      </c>
      <c r="U1" s="52"/>
      <c r="V1" s="52"/>
      <c r="W1" s="52"/>
      <c r="X1" s="52"/>
      <c r="Y1" s="52"/>
      <c r="Z1" s="52"/>
      <c r="AA1" s="53" t="s">
        <v>418</v>
      </c>
      <c r="AB1" s="51" t="s">
        <v>419</v>
      </c>
      <c r="AC1" s="52"/>
      <c r="AD1" s="54"/>
      <c r="CR1" s="3"/>
      <c r="CS1" s="3"/>
      <c r="CT1" s="3"/>
      <c r="CU1" s="3"/>
      <c r="CV1" s="3"/>
      <c r="CW1" s="3"/>
      <c r="CX1" s="3"/>
      <c r="CY1" s="3"/>
      <c r="CZ1" s="3"/>
      <c r="DA1" s="3"/>
      <c r="DB1" s="3"/>
      <c r="DC1" s="3"/>
      <c r="DD1" s="3"/>
      <c r="DE1" s="3"/>
      <c r="DF1" s="3"/>
    </row>
    <row r="2" spans="15:110" ht="18.75" customHeight="1" x14ac:dyDescent="0.35">
      <c r="O2" s="5"/>
      <c r="P2" s="5"/>
      <c r="S2" s="5">
        <v>96.5</v>
      </c>
      <c r="T2" s="56" t="s">
        <v>512</v>
      </c>
      <c r="U2" s="57" t="s">
        <v>0</v>
      </c>
      <c r="V2" s="57" t="s">
        <v>514</v>
      </c>
      <c r="W2" s="58" t="s">
        <v>513</v>
      </c>
      <c r="X2" s="56" t="s">
        <v>517</v>
      </c>
      <c r="Y2" s="57" t="s">
        <v>518</v>
      </c>
      <c r="Z2" s="59" t="s">
        <v>525</v>
      </c>
      <c r="AA2" s="60" t="s">
        <v>417</v>
      </c>
      <c r="AB2" s="61" t="s">
        <v>509</v>
      </c>
      <c r="AC2" s="57" t="s">
        <v>510</v>
      </c>
      <c r="AD2" s="59" t="s">
        <v>511</v>
      </c>
      <c r="AE2" s="62" t="s">
        <v>515</v>
      </c>
      <c r="AF2" s="63" t="s">
        <v>516</v>
      </c>
      <c r="AG2" s="64" t="s">
        <v>519</v>
      </c>
      <c r="AI2" s="752" t="s">
        <v>412</v>
      </c>
      <c r="AJ2" s="752" t="s">
        <v>1644</v>
      </c>
      <c r="CR2" s="3"/>
      <c r="CS2" s="3"/>
      <c r="CT2" s="3"/>
      <c r="CU2" s="3"/>
      <c r="CV2" s="3"/>
      <c r="CW2" s="3"/>
      <c r="CX2" s="3"/>
      <c r="CY2" s="3"/>
      <c r="CZ2" s="3"/>
      <c r="DA2" s="3"/>
      <c r="DB2" s="3"/>
      <c r="DC2" s="3"/>
      <c r="DD2" s="3"/>
      <c r="DE2" s="3"/>
      <c r="DF2" s="3"/>
    </row>
    <row r="3" spans="15:110" ht="18.75" customHeight="1" x14ac:dyDescent="0.4">
      <c r="O3" s="5"/>
      <c r="P3" s="5"/>
      <c r="S3" s="5">
        <v>600</v>
      </c>
      <c r="T3" s="65" t="s">
        <v>484</v>
      </c>
      <c r="U3" s="66" t="s">
        <v>5</v>
      </c>
      <c r="V3" s="65">
        <v>97.12</v>
      </c>
      <c r="W3" s="66">
        <v>24.3</v>
      </c>
      <c r="X3" s="66">
        <f>'CCCM Dashboard'!C15</f>
        <v>1484</v>
      </c>
      <c r="Y3" s="744">
        <f>'CCCM Dashboard'!$D$15</f>
        <v>8306</v>
      </c>
      <c r="Z3" s="67" t="str">
        <f>CONCATENATE(AG2," cp",IF(AG2&gt;1,"s",""))</f>
        <v>Column1 cps</v>
      </c>
      <c r="AA3" s="255" t="e">
        <f>#REF!</f>
        <v>#REF!</v>
      </c>
      <c r="AB3" s="68">
        <v>0</v>
      </c>
      <c r="AC3" s="68">
        <v>0</v>
      </c>
      <c r="AD3" s="68">
        <v>0</v>
      </c>
      <c r="AE3" s="69">
        <f>$S$3-ROUND((W3-$S$1)*$S$5,0)</f>
        <v>496</v>
      </c>
      <c r="AF3" s="70">
        <f t="shared" ref="AF3:AF25" si="0">ROUND((V3-$S$2)*$S$5,0)+$S$4</f>
        <v>181</v>
      </c>
      <c r="AG3" s="71">
        <f>'CCCM Dashboard'!E15</f>
        <v>11</v>
      </c>
      <c r="AI3" s="744">
        <f>'CCCM Dashboard'!$D$15</f>
        <v>8306</v>
      </c>
      <c r="AJ3" s="801">
        <f>COUNTIFS('NFI Distributions'!$B$6:$B$99,"&gt;5/1/2017",'NFI Distributions'!$F$6:$F$99,Table58[[#This Row],[Township]])</f>
        <v>10</v>
      </c>
      <c r="AK3" s="751"/>
      <c r="CR3" s="3"/>
      <c r="CS3" s="3"/>
      <c r="CT3" s="3"/>
      <c r="CU3" s="3"/>
      <c r="CV3" s="3"/>
      <c r="CW3" s="3"/>
      <c r="CX3" s="3"/>
      <c r="CY3" s="3"/>
      <c r="CZ3" s="3"/>
      <c r="DA3" s="3"/>
      <c r="DB3" s="3"/>
      <c r="DC3" s="3"/>
      <c r="DD3" s="3"/>
      <c r="DE3" s="3"/>
      <c r="DF3" s="3"/>
    </row>
    <row r="4" spans="15:110" ht="18.75" customHeight="1" x14ac:dyDescent="0.4">
      <c r="O4" s="5"/>
      <c r="P4" s="5"/>
      <c r="S4" s="5">
        <v>100</v>
      </c>
      <c r="T4" s="72" t="s">
        <v>488</v>
      </c>
      <c r="U4" s="66" t="s">
        <v>27</v>
      </c>
      <c r="V4" s="72">
        <v>98.322799999999987</v>
      </c>
      <c r="W4" s="66">
        <v>25.917999999999999</v>
      </c>
      <c r="X4" s="66">
        <f>'CCCM Dashboard'!C16</f>
        <v>497</v>
      </c>
      <c r="Y4" s="745">
        <f>'CCCM Dashboard'!$D$16</f>
        <v>2569</v>
      </c>
      <c r="Z4" s="67" t="str">
        <f t="shared" ref="Z4:Z25" si="1">CONCATENATE(AG3," cp",IF(AG3&gt;1,"s",""))</f>
        <v>11 cps</v>
      </c>
      <c r="AA4" s="255" t="e">
        <f>#REF!</f>
        <v>#REF!</v>
      </c>
      <c r="AB4" s="68">
        <v>1</v>
      </c>
      <c r="AC4" s="68">
        <v>0</v>
      </c>
      <c r="AD4" s="68">
        <v>0.95387840670859536</v>
      </c>
      <c r="AE4" s="69">
        <f t="shared" ref="AE4:AE25" si="2">$S$3-ROUND((W4-$S$1)*$S$5,0)</f>
        <v>286</v>
      </c>
      <c r="AF4" s="70">
        <f t="shared" si="0"/>
        <v>337</v>
      </c>
      <c r="AG4" s="71">
        <f>'CCCM Dashboard'!E16</f>
        <v>5</v>
      </c>
      <c r="AI4" s="745">
        <f>'CCCM Dashboard'!$D$16</f>
        <v>2569</v>
      </c>
      <c r="AJ4" s="801">
        <f>COUNTIFS('NFI Distributions'!$B$6:$B$99,"&gt;5/1/2017",'NFI Distributions'!$F$6:$F$99,Table58[[#This Row],[Township]])</f>
        <v>0</v>
      </c>
      <c r="AK4" s="751"/>
      <c r="CR4" s="3"/>
      <c r="CS4" s="3"/>
      <c r="CT4" s="3"/>
      <c r="CU4" s="3"/>
      <c r="CV4" s="3"/>
      <c r="CW4" s="3"/>
      <c r="CX4" s="3"/>
      <c r="CY4" s="3"/>
      <c r="CZ4" s="3"/>
      <c r="DA4" s="3"/>
      <c r="DB4" s="3"/>
      <c r="DC4" s="3"/>
      <c r="DD4" s="3"/>
      <c r="DE4" s="3"/>
      <c r="DF4" s="3"/>
    </row>
    <row r="5" spans="15:110" ht="18.75" customHeight="1" x14ac:dyDescent="0.4">
      <c r="O5" s="5"/>
      <c r="P5" s="5"/>
      <c r="S5" s="5">
        <v>130</v>
      </c>
      <c r="T5" s="65" t="s">
        <v>482</v>
      </c>
      <c r="U5" s="66" t="s">
        <v>481</v>
      </c>
      <c r="V5" s="65">
        <v>96.373750000000001</v>
      </c>
      <c r="W5" s="66">
        <v>25.9</v>
      </c>
      <c r="X5" s="66">
        <f>'CCCM Dashboard'!C17</f>
        <v>716</v>
      </c>
      <c r="Y5" s="744">
        <f>'CCCM Dashboard'!$D$17</f>
        <v>3590</v>
      </c>
      <c r="Z5" s="67" t="str">
        <f t="shared" si="1"/>
        <v>5 cps</v>
      </c>
      <c r="AA5" s="255" t="e">
        <f>#REF!</f>
        <v>#REF!</v>
      </c>
      <c r="AB5" s="68">
        <v>0.69172932330827064</v>
      </c>
      <c r="AC5" s="68">
        <v>0</v>
      </c>
      <c r="AD5" s="68">
        <v>1</v>
      </c>
      <c r="AE5" s="69">
        <f t="shared" si="2"/>
        <v>288</v>
      </c>
      <c r="AF5" s="70">
        <f t="shared" si="0"/>
        <v>84</v>
      </c>
      <c r="AG5" s="71">
        <f>'CCCM Dashboard'!E17</f>
        <v>22</v>
      </c>
      <c r="AI5" s="744">
        <f>'CCCM Dashboard'!$D$17</f>
        <v>3590</v>
      </c>
      <c r="AJ5" s="801">
        <f>COUNTIFS('NFI Distributions'!$B$6:$B$99,"&gt;5/1/2017",'NFI Distributions'!$F$6:$F$99,Table58[[#This Row],[Township]])</f>
        <v>0</v>
      </c>
      <c r="AK5" s="751"/>
      <c r="CR5" s="3"/>
      <c r="CS5" s="3"/>
      <c r="CT5" s="3"/>
      <c r="CU5" s="3"/>
      <c r="CV5" s="3"/>
      <c r="CW5" s="3"/>
      <c r="CX5" s="3"/>
      <c r="CY5" s="3"/>
      <c r="CZ5" s="3"/>
      <c r="DA5" s="3"/>
      <c r="DB5" s="3"/>
      <c r="DC5" s="3"/>
      <c r="DD5" s="3"/>
      <c r="DE5" s="3"/>
      <c r="DF5" s="3"/>
    </row>
    <row r="6" spans="15:110" ht="18.75" customHeight="1" x14ac:dyDescent="0.4">
      <c r="O6" s="5"/>
      <c r="P6" s="5"/>
      <c r="T6" s="72" t="s">
        <v>721</v>
      </c>
      <c r="U6" s="66" t="s">
        <v>720</v>
      </c>
      <c r="V6" s="73">
        <v>98.1</v>
      </c>
      <c r="W6" s="74">
        <v>23.28</v>
      </c>
      <c r="X6" s="66">
        <f>'CCCM Dashboard'!C33</f>
        <v>100</v>
      </c>
      <c r="Y6" s="745">
        <f>'CCCM Dashboard'!$D$33</f>
        <v>566</v>
      </c>
      <c r="Z6" s="67" t="str">
        <f t="shared" si="1"/>
        <v>22 cps</v>
      </c>
      <c r="AA6" s="255" t="e">
        <f>#REF!</f>
        <v>#REF!</v>
      </c>
      <c r="AB6" s="68"/>
      <c r="AC6" s="68"/>
      <c r="AD6" s="68"/>
      <c r="AE6" s="69">
        <f t="shared" si="2"/>
        <v>629</v>
      </c>
      <c r="AF6" s="70">
        <f t="shared" si="0"/>
        <v>308</v>
      </c>
      <c r="AG6" s="71">
        <f>'CCCM Dashboard'!E33</f>
        <v>2</v>
      </c>
      <c r="AI6" s="745">
        <f>'CCCM Dashboard'!$D$33</f>
        <v>566</v>
      </c>
      <c r="AJ6" s="801">
        <f>COUNTIFS('NFI Distributions'!$B$6:$B$99,"&gt;5/1/2017",'NFI Distributions'!$F$6:$F$99,Table58[[#This Row],[Township]])</f>
        <v>1</v>
      </c>
      <c r="AK6" s="751"/>
      <c r="CR6" s="3"/>
      <c r="CS6" s="3"/>
      <c r="CT6" s="3"/>
      <c r="CU6" s="3"/>
      <c r="CV6" s="3"/>
      <c r="CW6" s="3"/>
      <c r="CX6" s="3"/>
      <c r="CY6" s="3"/>
      <c r="CZ6" s="3"/>
      <c r="DA6" s="3"/>
      <c r="DB6" s="3"/>
      <c r="DC6" s="3"/>
      <c r="DD6" s="3"/>
      <c r="DE6" s="3"/>
      <c r="DF6" s="3"/>
    </row>
    <row r="7" spans="15:110" ht="18.75" customHeight="1" x14ac:dyDescent="0.4">
      <c r="O7" s="154"/>
      <c r="P7" s="154"/>
      <c r="T7" s="393" t="s">
        <v>1231</v>
      </c>
      <c r="U7" s="394" t="s">
        <v>1230</v>
      </c>
      <c r="V7" s="395">
        <v>97.298102999999998</v>
      </c>
      <c r="W7" s="396">
        <v>22.618938</v>
      </c>
      <c r="X7" s="66">
        <f>'CCCM Dashboard'!C38</f>
        <v>37</v>
      </c>
      <c r="Y7" s="744">
        <f>'CCCM Dashboard'!$D$38</f>
        <v>120</v>
      </c>
      <c r="Z7" s="67" t="str">
        <f t="shared" si="1"/>
        <v>2 cps</v>
      </c>
      <c r="AA7" s="255" t="e">
        <f>#REF!</f>
        <v>#REF!</v>
      </c>
      <c r="AB7" s="397"/>
      <c r="AC7" s="397"/>
      <c r="AD7" s="397"/>
      <c r="AE7" s="398">
        <f>$S$3-ROUND((W7-$S$1)*$S$5,0)</f>
        <v>715</v>
      </c>
      <c r="AF7" s="399">
        <f t="shared" si="0"/>
        <v>204</v>
      </c>
      <c r="AG7" s="71">
        <f>'CCCM Dashboard'!E38</f>
        <v>1</v>
      </c>
      <c r="AI7" s="744">
        <f>'CCCM Dashboard'!$D$38</f>
        <v>120</v>
      </c>
      <c r="AJ7" s="801">
        <f>COUNTIFS('NFI Distributions'!$B$6:$B$99,"&gt;5/1/2017",'NFI Distributions'!$F$6:$F$99,Table58[[#This Row],[Township]])</f>
        <v>0</v>
      </c>
      <c r="AK7" s="751"/>
      <c r="CR7" s="3"/>
      <c r="CS7" s="3"/>
      <c r="CT7" s="3"/>
      <c r="CU7" s="3"/>
      <c r="CV7" s="3"/>
      <c r="CW7" s="3"/>
      <c r="CX7" s="3"/>
      <c r="CY7" s="3"/>
      <c r="CZ7" s="3"/>
      <c r="DA7" s="3"/>
      <c r="DB7" s="3"/>
      <c r="DC7" s="3"/>
      <c r="DD7" s="3"/>
      <c r="DE7" s="3"/>
      <c r="DF7" s="3"/>
    </row>
    <row r="8" spans="15:110" ht="18.75" customHeight="1" x14ac:dyDescent="0.4">
      <c r="O8" s="5"/>
      <c r="P8" s="5"/>
      <c r="T8" s="72" t="s">
        <v>502</v>
      </c>
      <c r="U8" s="66" t="s">
        <v>361</v>
      </c>
      <c r="V8" s="72">
        <v>97.89587301587305</v>
      </c>
      <c r="W8" s="66">
        <v>26.232698412698419</v>
      </c>
      <c r="X8" s="66">
        <f>'CCCM Dashboard'!C18</f>
        <v>0</v>
      </c>
      <c r="Y8" s="745">
        <f>'CCCM Dashboard'!$D$18</f>
        <v>0</v>
      </c>
      <c r="Z8" s="67" t="str">
        <f t="shared" si="1"/>
        <v>1 cp</v>
      </c>
      <c r="AA8" s="255" t="e">
        <f>#REF!</f>
        <v>#REF!</v>
      </c>
      <c r="AB8" s="68">
        <v>0</v>
      </c>
      <c r="AC8" s="68">
        <v>0</v>
      </c>
      <c r="AD8" s="68">
        <v>0</v>
      </c>
      <c r="AE8" s="69">
        <f>$S$3-ROUND((W8-$S$1)*$S$5,0)</f>
        <v>245</v>
      </c>
      <c r="AF8" s="70">
        <f t="shared" si="0"/>
        <v>281</v>
      </c>
      <c r="AG8" s="71">
        <f>'CCCM Dashboard'!E18</f>
        <v>0</v>
      </c>
      <c r="AI8" s="745">
        <f>'CCCM Dashboard'!$D$18</f>
        <v>0</v>
      </c>
      <c r="AJ8" s="801">
        <f>COUNTIFS('NFI Distributions'!$B$6:$B$99,"&gt;5/1/2017",'NFI Distributions'!$F$6:$F$99,Table58[[#This Row],[Township]])</f>
        <v>0</v>
      </c>
      <c r="AK8" s="751"/>
      <c r="CR8" s="3"/>
      <c r="CS8" s="3"/>
      <c r="CT8" s="3"/>
      <c r="CU8" s="3"/>
      <c r="CV8" s="3"/>
      <c r="CW8" s="3"/>
      <c r="CX8" s="3"/>
      <c r="CY8" s="3"/>
      <c r="CZ8" s="3"/>
      <c r="DA8" s="3"/>
      <c r="DB8" s="3"/>
      <c r="DC8" s="3"/>
      <c r="DD8" s="3"/>
      <c r="DE8" s="3"/>
      <c r="DF8" s="3"/>
    </row>
    <row r="9" spans="15:110" ht="18.75" customHeight="1" x14ac:dyDescent="0.4">
      <c r="O9" s="5"/>
      <c r="P9" s="5"/>
      <c r="T9" s="65" t="s">
        <v>501</v>
      </c>
      <c r="U9" s="66" t="s">
        <v>144</v>
      </c>
      <c r="V9" s="65">
        <v>98.438571428571422</v>
      </c>
      <c r="W9" s="66">
        <v>27.1</v>
      </c>
      <c r="X9" s="66">
        <f>'CCCM Dashboard'!C19</f>
        <v>0</v>
      </c>
      <c r="Y9" s="744">
        <f>'CCCM Dashboard'!$D$19</f>
        <v>0</v>
      </c>
      <c r="Z9" s="67" t="str">
        <f t="shared" si="1"/>
        <v>0 cp</v>
      </c>
      <c r="AA9" s="255" t="e">
        <f>#REF!</f>
        <v>#REF!</v>
      </c>
      <c r="AB9" s="68">
        <v>0</v>
      </c>
      <c r="AC9" s="68">
        <v>0</v>
      </c>
      <c r="AD9" s="68">
        <v>0</v>
      </c>
      <c r="AE9" s="69">
        <f t="shared" si="2"/>
        <v>132</v>
      </c>
      <c r="AF9" s="70">
        <f t="shared" si="0"/>
        <v>352</v>
      </c>
      <c r="AG9" s="71">
        <f>'CCCM Dashboard'!E19</f>
        <v>0</v>
      </c>
      <c r="AI9" s="744">
        <f>'CCCM Dashboard'!$D$19</f>
        <v>0</v>
      </c>
      <c r="AJ9" s="801">
        <f>COUNTIFS('NFI Distributions'!$B$6:$B$99,"&gt;5/1/2017",'NFI Distributions'!$F$6:$F$99,Table58[[#This Row],[Township]])</f>
        <v>0</v>
      </c>
      <c r="AK9" s="751"/>
      <c r="CR9" s="3"/>
      <c r="CS9" s="3"/>
      <c r="CT9" s="3"/>
      <c r="CU9" s="3"/>
      <c r="CV9" s="3"/>
      <c r="CW9" s="3"/>
      <c r="CX9" s="3"/>
      <c r="CY9" s="3"/>
      <c r="CZ9" s="3"/>
      <c r="DA9" s="3"/>
      <c r="DB9" s="3"/>
      <c r="DC9" s="3"/>
      <c r="DD9" s="3"/>
      <c r="DE9" s="3"/>
      <c r="DF9" s="3"/>
    </row>
    <row r="10" spans="15:110" ht="18.75" customHeight="1" x14ac:dyDescent="0.35">
      <c r="O10" s="5"/>
      <c r="P10" s="5"/>
      <c r="T10" s="72" t="s">
        <v>498</v>
      </c>
      <c r="U10" s="66" t="s">
        <v>146</v>
      </c>
      <c r="V10" s="72">
        <v>98.1</v>
      </c>
      <c r="W10" s="66">
        <v>23.553031914893619</v>
      </c>
      <c r="X10" s="66">
        <f>'CCCM Dashboard'!C34</f>
        <v>875</v>
      </c>
      <c r="Y10" s="745">
        <f>'CCCM Dashboard'!$D$34</f>
        <v>4317</v>
      </c>
      <c r="Z10" s="67" t="str">
        <f t="shared" si="1"/>
        <v>0 cp</v>
      </c>
      <c r="AA10" s="255" t="e">
        <f>#REF!</f>
        <v>#REF!</v>
      </c>
      <c r="AB10" s="68">
        <v>0</v>
      </c>
      <c r="AC10" s="68">
        <v>0</v>
      </c>
      <c r="AD10" s="68">
        <v>1</v>
      </c>
      <c r="AE10" s="69">
        <f>$S$3-ROUND((W10-$S$1)*$S$5,0)</f>
        <v>593</v>
      </c>
      <c r="AF10" s="70">
        <f t="shared" si="0"/>
        <v>308</v>
      </c>
      <c r="AG10" s="71">
        <f>'CCCM Dashboard'!E34</f>
        <v>14</v>
      </c>
      <c r="AI10" s="745">
        <f>'CCCM Dashboard'!$D$34</f>
        <v>4317</v>
      </c>
      <c r="AJ10" s="801">
        <f>COUNTIFS('NFI Distributions'!$B$6:$B$99,"&gt;5/1/2017",'NFI Distributions'!$F$6:$F$99,Table58[[#This Row],[Township]])</f>
        <v>4</v>
      </c>
      <c r="CR10" s="3"/>
      <c r="CS10" s="3"/>
      <c r="CT10" s="3"/>
      <c r="CU10" s="3"/>
      <c r="CV10" s="3"/>
      <c r="CW10" s="3"/>
      <c r="CX10" s="3"/>
      <c r="CY10" s="3"/>
      <c r="CZ10" s="3"/>
      <c r="DA10" s="3"/>
      <c r="DB10" s="3"/>
      <c r="DC10" s="3"/>
      <c r="DD10" s="3"/>
      <c r="DE10" s="3"/>
      <c r="DF10" s="3"/>
    </row>
    <row r="11" spans="15:110" ht="18.75" customHeight="1" x14ac:dyDescent="0.35">
      <c r="O11" s="5"/>
      <c r="P11" s="5"/>
      <c r="T11" s="72" t="s">
        <v>820</v>
      </c>
      <c r="U11" s="66" t="s">
        <v>819</v>
      </c>
      <c r="V11" s="73">
        <v>97.88</v>
      </c>
      <c r="W11" s="74">
        <v>27.2</v>
      </c>
      <c r="X11" s="66">
        <f>'CCCM Dashboard'!C20</f>
        <v>0</v>
      </c>
      <c r="Y11" s="744">
        <f>'CCCM Dashboard'!$D$20</f>
        <v>0</v>
      </c>
      <c r="Z11" s="67" t="str">
        <f t="shared" si="1"/>
        <v>14 cps</v>
      </c>
      <c r="AA11" s="255" t="e">
        <f>#REF!</f>
        <v>#REF!</v>
      </c>
      <c r="AB11" s="68"/>
      <c r="AC11" s="68"/>
      <c r="AD11" s="68"/>
      <c r="AE11" s="69">
        <f>$S$3-ROUND((W11-$S$1)*$S$5,0)</f>
        <v>119</v>
      </c>
      <c r="AF11" s="70">
        <f t="shared" si="0"/>
        <v>279</v>
      </c>
      <c r="AG11" s="71">
        <f>'CCCM Dashboard'!E20</f>
        <v>0</v>
      </c>
      <c r="AI11" s="744">
        <f>'CCCM Dashboard'!$D$20</f>
        <v>0</v>
      </c>
      <c r="AJ11" s="801">
        <f>COUNTIFS('NFI Distributions'!$B$6:$B$99,"&gt;5/1/2017",'NFI Distributions'!$F$6:$F$99,Table58[[#This Row],[Township]])</f>
        <v>0</v>
      </c>
      <c r="CR11" s="3"/>
      <c r="CS11" s="3"/>
      <c r="CT11" s="3"/>
      <c r="CU11" s="3"/>
      <c r="CV11" s="3"/>
      <c r="CW11" s="3"/>
      <c r="CX11" s="3"/>
      <c r="CY11" s="3"/>
      <c r="CZ11" s="3"/>
      <c r="DA11" s="3"/>
      <c r="DB11" s="3"/>
      <c r="DC11" s="3"/>
      <c r="DD11" s="3"/>
      <c r="DE11" s="3"/>
      <c r="DF11" s="3"/>
    </row>
    <row r="12" spans="15:110" ht="18.75" customHeight="1" x14ac:dyDescent="0.35">
      <c r="O12" s="5"/>
      <c r="P12" s="5"/>
      <c r="T12" s="65" t="s">
        <v>493</v>
      </c>
      <c r="U12" s="66" t="s">
        <v>151</v>
      </c>
      <c r="V12" s="65">
        <v>97.372845528455244</v>
      </c>
      <c r="W12" s="66">
        <v>24</v>
      </c>
      <c r="X12" s="66">
        <f>'CCCM Dashboard'!C21</f>
        <v>2755</v>
      </c>
      <c r="Y12" s="745">
        <f>'CCCM Dashboard'!$D$21</f>
        <v>12961</v>
      </c>
      <c r="Z12" s="67" t="str">
        <f t="shared" si="1"/>
        <v>0 cp</v>
      </c>
      <c r="AA12" s="255" t="e">
        <f>#REF!</f>
        <v>#REF!</v>
      </c>
      <c r="AB12" s="68">
        <v>0</v>
      </c>
      <c r="AC12" s="68">
        <v>0</v>
      </c>
      <c r="AD12" s="68">
        <v>0</v>
      </c>
      <c r="AE12" s="69">
        <f t="shared" si="2"/>
        <v>535</v>
      </c>
      <c r="AF12" s="70">
        <f t="shared" si="0"/>
        <v>213</v>
      </c>
      <c r="AG12" s="71">
        <f>'CCCM Dashboard'!E21</f>
        <v>11</v>
      </c>
      <c r="AI12" s="745">
        <f>'CCCM Dashboard'!$D$21</f>
        <v>12961</v>
      </c>
      <c r="AJ12" s="801">
        <f>COUNTIFS('NFI Distributions'!$B$6:$B$99,"&gt;5/1/2017",'NFI Distributions'!$F$6:$F$99,Table58[[#This Row],[Township]])</f>
        <v>5</v>
      </c>
      <c r="CR12" s="3"/>
      <c r="CS12" s="3"/>
      <c r="CT12" s="3"/>
      <c r="CU12" s="3"/>
      <c r="CV12" s="3"/>
      <c r="CW12" s="3"/>
      <c r="CX12" s="3"/>
      <c r="CY12" s="3"/>
      <c r="CZ12" s="3"/>
      <c r="DA12" s="3"/>
      <c r="DB12" s="3"/>
      <c r="DC12" s="3"/>
      <c r="DD12" s="3"/>
      <c r="DE12" s="3"/>
      <c r="DF12" s="3"/>
    </row>
    <row r="13" spans="15:110" ht="18.75" customHeight="1" x14ac:dyDescent="0.35">
      <c r="O13" s="5"/>
      <c r="P13" s="5"/>
      <c r="T13" s="72" t="s">
        <v>497</v>
      </c>
      <c r="U13" s="66" t="s">
        <v>166</v>
      </c>
      <c r="V13" s="72">
        <v>97.266347826086943</v>
      </c>
      <c r="W13" s="66">
        <v>23.345826086956535</v>
      </c>
      <c r="X13" s="66">
        <f>'CCCM Dashboard'!C35</f>
        <v>98</v>
      </c>
      <c r="Y13" s="744">
        <f>'CCCM Dashboard'!$D$35</f>
        <v>534</v>
      </c>
      <c r="Z13" s="67" t="str">
        <f t="shared" si="1"/>
        <v>11 cps</v>
      </c>
      <c r="AA13" s="255" t="e">
        <f>#REF!</f>
        <v>#REF!</v>
      </c>
      <c r="AB13" s="68">
        <v>0</v>
      </c>
      <c r="AC13" s="68">
        <v>0</v>
      </c>
      <c r="AD13" s="68">
        <v>0</v>
      </c>
      <c r="AE13" s="69">
        <f>$S$3-ROUND((W13-$S$1)*$S$5,0)</f>
        <v>620</v>
      </c>
      <c r="AF13" s="70">
        <f t="shared" si="0"/>
        <v>200</v>
      </c>
      <c r="AG13" s="71">
        <f>'CCCM Dashboard'!E35</f>
        <v>3</v>
      </c>
      <c r="AI13" s="744">
        <f>'CCCM Dashboard'!$D$35</f>
        <v>534</v>
      </c>
      <c r="AJ13" s="801">
        <f>COUNTIFS('NFI Distributions'!$B$6:$B$99,"&gt;5/1/2017",'NFI Distributions'!$F$6:$F$99,Table58[[#This Row],[Township]])</f>
        <v>0</v>
      </c>
      <c r="CR13" s="3"/>
      <c r="CS13" s="3"/>
      <c r="CT13" s="3"/>
      <c r="CU13" s="3"/>
      <c r="CV13" s="3"/>
      <c r="CW13" s="3"/>
      <c r="CX13" s="3"/>
      <c r="CY13" s="3"/>
      <c r="CZ13" s="3"/>
      <c r="DA13" s="3"/>
      <c r="DB13" s="3"/>
      <c r="DC13" s="3"/>
      <c r="DD13" s="3"/>
      <c r="DE13" s="3"/>
      <c r="DF13" s="3"/>
    </row>
    <row r="14" spans="15:110" ht="18.75" customHeight="1" x14ac:dyDescent="0.35">
      <c r="O14" s="5"/>
      <c r="P14" s="5"/>
      <c r="T14" s="65" t="s">
        <v>499</v>
      </c>
      <c r="U14" s="66" t="s">
        <v>173</v>
      </c>
      <c r="V14" s="65">
        <v>96.9</v>
      </c>
      <c r="W14" s="66">
        <v>25.4</v>
      </c>
      <c r="X14" s="66">
        <f>'CCCM Dashboard'!C22</f>
        <v>75</v>
      </c>
      <c r="Y14" s="745">
        <f>'CCCM Dashboard'!$D$22</f>
        <v>349</v>
      </c>
      <c r="Z14" s="67" t="str">
        <f t="shared" si="1"/>
        <v>3 cps</v>
      </c>
      <c r="AA14" s="255" t="e">
        <f>#REF!</f>
        <v>#REF!</v>
      </c>
      <c r="AB14" s="68">
        <v>0</v>
      </c>
      <c r="AC14" s="68">
        <v>0</v>
      </c>
      <c r="AD14" s="68">
        <v>0</v>
      </c>
      <c r="AE14" s="69">
        <f t="shared" si="2"/>
        <v>353</v>
      </c>
      <c r="AF14" s="70">
        <f t="shared" si="0"/>
        <v>152</v>
      </c>
      <c r="AG14" s="71">
        <f>'CCCM Dashboard'!E22</f>
        <v>5</v>
      </c>
      <c r="AI14" s="745">
        <f>'CCCM Dashboard'!$D$22</f>
        <v>349</v>
      </c>
      <c r="AJ14" s="801">
        <f>COUNTIFS('NFI Distributions'!$B$6:$B$99,"&gt;5/1/2017",'NFI Distributions'!$F$6:$F$99,Table58[[#This Row],[Township]])</f>
        <v>0</v>
      </c>
      <c r="CR14" s="3"/>
      <c r="CS14" s="3"/>
      <c r="CT14" s="3"/>
      <c r="CU14" s="3"/>
      <c r="CV14" s="3"/>
      <c r="CW14" s="3"/>
      <c r="CX14" s="3"/>
      <c r="CY14" s="3"/>
      <c r="CZ14" s="3"/>
      <c r="DA14" s="3"/>
      <c r="DB14" s="3"/>
      <c r="DC14" s="3"/>
      <c r="DD14" s="3"/>
      <c r="DE14" s="3"/>
      <c r="DF14" s="3"/>
    </row>
    <row r="15" spans="15:110" ht="18.75" customHeight="1" x14ac:dyDescent="0.35">
      <c r="O15" s="5"/>
      <c r="P15" s="5"/>
      <c r="T15" s="72" t="s">
        <v>505</v>
      </c>
      <c r="U15" s="66" t="s">
        <v>180</v>
      </c>
      <c r="V15" s="72">
        <v>96.376558441558373</v>
      </c>
      <c r="W15" s="66">
        <v>24.957077922077939</v>
      </c>
      <c r="X15" s="66">
        <f>'CCCM Dashboard'!C23</f>
        <v>76</v>
      </c>
      <c r="Y15" s="744">
        <f>'CCCM Dashboard'!$D$23</f>
        <v>350</v>
      </c>
      <c r="Z15" s="67" t="str">
        <f t="shared" si="1"/>
        <v>5 cps</v>
      </c>
      <c r="AA15" s="255" t="e">
        <f>#REF!</f>
        <v>#REF!</v>
      </c>
      <c r="AB15" s="68">
        <v>1</v>
      </c>
      <c r="AC15" s="68">
        <v>0</v>
      </c>
      <c r="AD15" s="68">
        <v>0</v>
      </c>
      <c r="AE15" s="69">
        <f t="shared" si="2"/>
        <v>411</v>
      </c>
      <c r="AF15" s="70">
        <f t="shared" si="0"/>
        <v>84</v>
      </c>
      <c r="AG15" s="71">
        <f>'CCCM Dashboard'!E23</f>
        <v>4</v>
      </c>
      <c r="AI15" s="744">
        <f>'CCCM Dashboard'!$D$23</f>
        <v>350</v>
      </c>
      <c r="AJ15" s="801">
        <f>COUNTIFS('NFI Distributions'!$B$6:$B$99,"&gt;5/1/2017",'NFI Distributions'!$F$6:$F$99,Table58[[#This Row],[Township]])</f>
        <v>0</v>
      </c>
      <c r="CR15" s="3"/>
      <c r="CS15" s="3"/>
      <c r="CT15" s="3"/>
      <c r="CU15" s="3"/>
      <c r="CV15" s="3"/>
      <c r="CW15" s="3"/>
      <c r="CX15" s="3"/>
      <c r="CY15" s="3"/>
      <c r="CZ15" s="3"/>
      <c r="DA15" s="3"/>
      <c r="DB15" s="3"/>
      <c r="DC15" s="3"/>
      <c r="DD15" s="3"/>
      <c r="DE15" s="3"/>
      <c r="DF15" s="3"/>
    </row>
    <row r="16" spans="15:110" ht="18.75" customHeight="1" x14ac:dyDescent="0.35">
      <c r="O16" s="5"/>
      <c r="P16" s="5"/>
      <c r="T16" s="65" t="s">
        <v>487</v>
      </c>
      <c r="U16" s="66" t="s">
        <v>185</v>
      </c>
      <c r="V16" s="65">
        <v>97.449510489510473</v>
      </c>
      <c r="W16" s="66">
        <v>24.6</v>
      </c>
      <c r="X16" s="66">
        <f>'CCCM Dashboard'!C24</f>
        <v>4725</v>
      </c>
      <c r="Y16" s="745">
        <f>'CCCM Dashboard'!$D$24</f>
        <v>24769</v>
      </c>
      <c r="Z16" s="67" t="str">
        <f t="shared" si="1"/>
        <v>4 cps</v>
      </c>
      <c r="AA16" s="255" t="e">
        <f>#REF!</f>
        <v>#REF!</v>
      </c>
      <c r="AB16" s="68">
        <v>0.12549019607843137</v>
      </c>
      <c r="AC16" s="68">
        <v>0</v>
      </c>
      <c r="AD16" s="68">
        <v>0.58263305322128844</v>
      </c>
      <c r="AE16" s="69">
        <f t="shared" si="2"/>
        <v>457</v>
      </c>
      <c r="AF16" s="70">
        <f t="shared" si="0"/>
        <v>223</v>
      </c>
      <c r="AG16" s="71">
        <f>'CCCM Dashboard'!E24</f>
        <v>15</v>
      </c>
      <c r="AI16" s="745">
        <f>'CCCM Dashboard'!$D$24</f>
        <v>24769</v>
      </c>
      <c r="AJ16" s="801">
        <f>COUNTIFS('NFI Distributions'!$B$6:$B$99,"&gt;5/1/2017",'NFI Distributions'!$F$6:$F$99,Table58[[#This Row],[Township]])</f>
        <v>1</v>
      </c>
      <c r="CR16" s="3"/>
      <c r="CS16" s="3"/>
      <c r="CT16" s="3"/>
      <c r="CU16" s="3"/>
      <c r="CV16" s="3"/>
      <c r="CW16" s="3"/>
      <c r="CX16" s="3"/>
      <c r="CY16" s="3"/>
      <c r="CZ16" s="3"/>
      <c r="DA16" s="3"/>
      <c r="DB16" s="3"/>
      <c r="DC16" s="3"/>
      <c r="DD16" s="3"/>
      <c r="DE16" s="3"/>
      <c r="DF16" s="3"/>
    </row>
    <row r="17" spans="1:110" ht="18.75" customHeight="1" x14ac:dyDescent="0.35">
      <c r="O17" s="5"/>
      <c r="P17" s="5"/>
      <c r="T17" s="72" t="s">
        <v>492</v>
      </c>
      <c r="U17" s="66" t="s">
        <v>230</v>
      </c>
      <c r="V17" s="72">
        <v>98.12</v>
      </c>
      <c r="W17" s="66">
        <v>23.972235294117642</v>
      </c>
      <c r="X17" s="66">
        <f>'CCCM Dashboard'!C36</f>
        <v>252</v>
      </c>
      <c r="Y17" s="744">
        <f>'CCCM Dashboard'!$D$36</f>
        <v>1261</v>
      </c>
      <c r="Z17" s="67" t="str">
        <f t="shared" si="1"/>
        <v>15 cps</v>
      </c>
      <c r="AA17" s="255" t="e">
        <f>#REF!</f>
        <v>#REF!</v>
      </c>
      <c r="AB17" s="68">
        <v>0</v>
      </c>
      <c r="AC17" s="68">
        <v>0</v>
      </c>
      <c r="AD17" s="68">
        <v>0</v>
      </c>
      <c r="AE17" s="69">
        <f t="shared" si="2"/>
        <v>539</v>
      </c>
      <c r="AF17" s="70">
        <f t="shared" si="0"/>
        <v>311</v>
      </c>
      <c r="AG17" s="71">
        <f>'CCCM Dashboard'!E36</f>
        <v>4</v>
      </c>
      <c r="AI17" s="744">
        <f>'CCCM Dashboard'!$D$36</f>
        <v>1261</v>
      </c>
      <c r="AJ17" s="801">
        <f>COUNTIFS('NFI Distributions'!$B$6:$B$99,"&gt;5/1/2017",'NFI Distributions'!$F$6:$F$99,Table58[[#This Row],[Township]])</f>
        <v>0</v>
      </c>
      <c r="CR17" s="3"/>
      <c r="CS17" s="3"/>
      <c r="CT17" s="3"/>
      <c r="CU17" s="3"/>
      <c r="CV17" s="3"/>
      <c r="CW17" s="3"/>
      <c r="CX17" s="3"/>
      <c r="CY17" s="3"/>
      <c r="CZ17" s="3"/>
      <c r="DA17" s="3"/>
      <c r="DB17" s="3"/>
      <c r="DC17" s="3"/>
      <c r="DD17" s="3"/>
      <c r="DE17" s="3"/>
      <c r="DF17" s="3"/>
    </row>
    <row r="18" spans="1:110" ht="18.75" customHeight="1" x14ac:dyDescent="0.35">
      <c r="O18" s="5"/>
      <c r="P18" s="5"/>
      <c r="T18" s="65" t="s">
        <v>489</v>
      </c>
      <c r="U18" s="66" t="s">
        <v>237</v>
      </c>
      <c r="V18" s="65">
        <v>97.301176470588288</v>
      </c>
      <c r="W18" s="66">
        <v>25.24</v>
      </c>
      <c r="X18" s="66">
        <f>'CCCM Dashboard'!C25</f>
        <v>1471</v>
      </c>
      <c r="Y18" s="745">
        <f>'CCCM Dashboard'!$D$25</f>
        <v>7536</v>
      </c>
      <c r="Z18" s="67" t="str">
        <f t="shared" si="1"/>
        <v>4 cps</v>
      </c>
      <c r="AA18" s="255" t="e">
        <f>#REF!</f>
        <v>#REF!</v>
      </c>
      <c r="AB18" s="68">
        <v>0.65062761506276146</v>
      </c>
      <c r="AC18" s="68">
        <v>0</v>
      </c>
      <c r="AD18" s="68">
        <v>0.25732217573221761</v>
      </c>
      <c r="AE18" s="69">
        <f t="shared" si="2"/>
        <v>374</v>
      </c>
      <c r="AF18" s="70">
        <f t="shared" si="0"/>
        <v>204</v>
      </c>
      <c r="AG18" s="71">
        <f>'CCCM Dashboard'!E25</f>
        <v>22</v>
      </c>
      <c r="AI18" s="745">
        <f>'CCCM Dashboard'!$D$25</f>
        <v>7536</v>
      </c>
      <c r="AJ18" s="801">
        <f>COUNTIFS('NFI Distributions'!$B$6:$B$99,"&gt;5/1/2017",'NFI Distributions'!$F$6:$F$99,Table58[[#This Row],[Township]])</f>
        <v>2</v>
      </c>
      <c r="CR18" s="3"/>
      <c r="CS18" s="3"/>
      <c r="CT18" s="3"/>
      <c r="CU18" s="3"/>
      <c r="CV18" s="3"/>
      <c r="CW18" s="3"/>
      <c r="CX18" s="3"/>
      <c r="CY18" s="3"/>
      <c r="CZ18" s="3"/>
      <c r="DA18" s="3"/>
      <c r="DB18" s="3"/>
      <c r="DC18" s="3"/>
      <c r="DD18" s="3"/>
      <c r="DE18" s="3"/>
      <c r="DF18" s="3"/>
    </row>
    <row r="19" spans="1:110" ht="18.75" customHeight="1" x14ac:dyDescent="0.35">
      <c r="O19" s="5"/>
      <c r="P19" s="5"/>
      <c r="T19" s="72" t="s">
        <v>503</v>
      </c>
      <c r="U19" s="66" t="s">
        <v>288</v>
      </c>
      <c r="V19" s="72">
        <v>97.619855072463778</v>
      </c>
      <c r="W19" s="66">
        <v>23.7</v>
      </c>
      <c r="X19" s="66">
        <f>'CCCM Dashboard'!C37</f>
        <v>398</v>
      </c>
      <c r="Y19" s="744">
        <f>'CCCM Dashboard'!$D$37</f>
        <v>1960</v>
      </c>
      <c r="Z19" s="67" t="str">
        <f t="shared" si="1"/>
        <v>22 cps</v>
      </c>
      <c r="AA19" s="255" t="e">
        <f>#REF!</f>
        <v>#REF!</v>
      </c>
      <c r="AB19" s="68">
        <v>0</v>
      </c>
      <c r="AC19" s="68">
        <v>0</v>
      </c>
      <c r="AD19" s="68">
        <v>0</v>
      </c>
      <c r="AE19" s="69">
        <f t="shared" si="2"/>
        <v>574</v>
      </c>
      <c r="AF19" s="70">
        <f t="shared" si="0"/>
        <v>246</v>
      </c>
      <c r="AG19" s="71">
        <f>'CCCM Dashboard'!E37</f>
        <v>6</v>
      </c>
      <c r="AI19" s="744">
        <f>'CCCM Dashboard'!$D$37</f>
        <v>1960</v>
      </c>
      <c r="AJ19" s="801">
        <f>COUNTIFS('NFI Distributions'!$B$6:$B$99,"&gt;5/1/2017",'NFI Distributions'!$F$6:$F$99,Table58[[#This Row],[Township]])</f>
        <v>0</v>
      </c>
      <c r="CR19" s="3"/>
      <c r="CS19" s="3"/>
      <c r="CT19" s="3"/>
      <c r="CU19" s="3"/>
      <c r="CV19" s="3"/>
      <c r="CW19" s="3"/>
      <c r="CX19" s="3"/>
      <c r="CY19" s="3"/>
      <c r="CZ19" s="3"/>
      <c r="DA19" s="3"/>
      <c r="DB19" s="3"/>
      <c r="DC19" s="3"/>
      <c r="DD19" s="3"/>
      <c r="DE19" s="3"/>
      <c r="DF19" s="3"/>
    </row>
    <row r="20" spans="1:110" ht="18.75" customHeight="1" x14ac:dyDescent="0.35">
      <c r="O20" s="5"/>
      <c r="P20" s="5"/>
      <c r="T20" s="65" t="s">
        <v>504</v>
      </c>
      <c r="U20" s="66" t="s">
        <v>297</v>
      </c>
      <c r="V20" s="65">
        <v>97.48</v>
      </c>
      <c r="W20" s="66">
        <v>23.01813559322035</v>
      </c>
      <c r="X20" s="66">
        <f>'CCCM Dashboard'!C39</f>
        <v>148</v>
      </c>
      <c r="Y20" s="745">
        <f>'CCCM Dashboard'!$D$39</f>
        <v>650</v>
      </c>
      <c r="Z20" s="67" t="str">
        <f t="shared" si="1"/>
        <v>6 cps</v>
      </c>
      <c r="AA20" s="255" t="e">
        <f>#REF!</f>
        <v>#REF!</v>
      </c>
      <c r="AB20" s="68">
        <v>0</v>
      </c>
      <c r="AC20" s="68">
        <v>0</v>
      </c>
      <c r="AD20" s="68">
        <v>0</v>
      </c>
      <c r="AE20" s="69">
        <f t="shared" si="2"/>
        <v>663</v>
      </c>
      <c r="AF20" s="70">
        <f t="shared" si="0"/>
        <v>227</v>
      </c>
      <c r="AG20" s="71">
        <f>'CCCM Dashboard'!E39</f>
        <v>4</v>
      </c>
      <c r="AI20" s="745">
        <f>'CCCM Dashboard'!$D$39</f>
        <v>650</v>
      </c>
      <c r="AJ20" s="801">
        <f>COUNTIFS('NFI Distributions'!$B$6:$B$99,"&gt;5/1/2017",'NFI Distributions'!$F$6:$F$99,Table58[[#This Row],[Township]])</f>
        <v>4</v>
      </c>
      <c r="CR20" s="3"/>
      <c r="CS20" s="3"/>
      <c r="CT20" s="3"/>
      <c r="CU20" s="3"/>
      <c r="CV20" s="3"/>
      <c r="CW20" s="3"/>
      <c r="CX20" s="3"/>
      <c r="CY20" s="3"/>
      <c r="CZ20" s="3"/>
      <c r="DA20" s="3"/>
      <c r="DB20" s="3"/>
      <c r="DC20" s="3"/>
      <c r="DD20" s="3"/>
      <c r="DE20" s="3"/>
      <c r="DF20" s="3"/>
    </row>
    <row r="21" spans="1:110" ht="18.75" customHeight="1" x14ac:dyDescent="0.35">
      <c r="O21" s="5"/>
      <c r="P21" s="5"/>
      <c r="T21" s="72" t="s">
        <v>506</v>
      </c>
      <c r="U21" s="66" t="s">
        <v>299</v>
      </c>
      <c r="V21" s="72">
        <v>97.435148514851463</v>
      </c>
      <c r="W21" s="66">
        <v>27.327029702970304</v>
      </c>
      <c r="X21" s="66">
        <f>'CCCM Dashboard'!C26</f>
        <v>85</v>
      </c>
      <c r="Y21" s="744">
        <f>'CCCM Dashboard'!$D$26</f>
        <v>412</v>
      </c>
      <c r="Z21" s="67" t="str">
        <f t="shared" si="1"/>
        <v>4 cps</v>
      </c>
      <c r="AA21" s="255" t="e">
        <f>#REF!</f>
        <v>#REF!</v>
      </c>
      <c r="AB21" s="68">
        <v>0</v>
      </c>
      <c r="AC21" s="68">
        <v>0</v>
      </c>
      <c r="AD21" s="68">
        <v>0</v>
      </c>
      <c r="AE21" s="69">
        <f t="shared" si="2"/>
        <v>102</v>
      </c>
      <c r="AF21" s="70">
        <f t="shared" si="0"/>
        <v>222</v>
      </c>
      <c r="AG21" s="71">
        <f>'CCCM Dashboard'!E26</f>
        <v>3</v>
      </c>
      <c r="AI21" s="744">
        <f>'CCCM Dashboard'!$D$26</f>
        <v>412</v>
      </c>
      <c r="AJ21" s="801">
        <f>COUNTIFS('NFI Distributions'!$B$6:$B$99,"&gt;5/1/2017",'NFI Distributions'!$F$6:$F$99,Table58[[#This Row],[Township]])</f>
        <v>0</v>
      </c>
      <c r="CR21" s="3"/>
      <c r="CS21" s="3"/>
      <c r="CT21" s="3"/>
      <c r="CU21" s="3"/>
      <c r="CV21" s="3"/>
      <c r="CW21" s="3"/>
      <c r="CX21" s="3"/>
      <c r="CY21" s="3"/>
      <c r="CZ21" s="3"/>
      <c r="DA21" s="3"/>
      <c r="DB21" s="3"/>
      <c r="DC21" s="3"/>
      <c r="DD21" s="3"/>
      <c r="DE21" s="3"/>
      <c r="DF21" s="3"/>
    </row>
    <row r="22" spans="1:110" ht="18.75" customHeight="1" x14ac:dyDescent="0.35">
      <c r="T22" s="65" t="s">
        <v>494</v>
      </c>
      <c r="U22" s="66" t="s">
        <v>301</v>
      </c>
      <c r="V22" s="65">
        <v>96.752179487179433</v>
      </c>
      <c r="W22" s="66">
        <v>24.4</v>
      </c>
      <c r="X22" s="66">
        <f>'CCCM Dashboard'!C27</f>
        <v>507</v>
      </c>
      <c r="Y22" s="745">
        <f>'CCCM Dashboard'!$D$27</f>
        <v>2177</v>
      </c>
      <c r="Z22" s="67" t="str">
        <f t="shared" si="1"/>
        <v>3 cps</v>
      </c>
      <c r="AA22" s="255" t="e">
        <f>#REF!</f>
        <v>#REF!</v>
      </c>
      <c r="AB22" s="68">
        <v>0</v>
      </c>
      <c r="AC22" s="68">
        <v>0</v>
      </c>
      <c r="AD22" s="68">
        <v>0</v>
      </c>
      <c r="AE22" s="69">
        <f t="shared" si="2"/>
        <v>483</v>
      </c>
      <c r="AF22" s="70">
        <f t="shared" si="0"/>
        <v>133</v>
      </c>
      <c r="AG22" s="71">
        <f>'CCCM Dashboard'!E27</f>
        <v>3</v>
      </c>
      <c r="AI22" s="745">
        <f>'CCCM Dashboard'!$D$27</f>
        <v>2177</v>
      </c>
      <c r="AJ22" s="801">
        <f>COUNTIFS('NFI Distributions'!$B$6:$B$99,"&gt;5/1/2017",'NFI Distributions'!$F$6:$F$99,Table58[[#This Row],[Township]])</f>
        <v>1</v>
      </c>
      <c r="CY22" s="19"/>
      <c r="CZ22" s="20"/>
      <c r="DA22" s="20"/>
      <c r="DB22" s="20"/>
      <c r="DC22" s="20"/>
    </row>
    <row r="23" spans="1:110" ht="18.75" customHeight="1" x14ac:dyDescent="0.35">
      <c r="A23" s="30"/>
      <c r="B23" s="30"/>
      <c r="C23" s="30"/>
      <c r="D23" s="30"/>
      <c r="E23" s="30"/>
      <c r="F23" s="30"/>
      <c r="G23" s="30"/>
      <c r="H23" s="30"/>
      <c r="I23" s="30"/>
      <c r="J23" s="30"/>
      <c r="K23" s="30"/>
      <c r="L23" s="30"/>
      <c r="M23" s="30"/>
      <c r="N23" s="21"/>
      <c r="T23" s="72" t="s">
        <v>749</v>
      </c>
      <c r="U23" s="66" t="s">
        <v>748</v>
      </c>
      <c r="V23" s="65">
        <v>97.5</v>
      </c>
      <c r="W23" s="74">
        <v>26.5</v>
      </c>
      <c r="X23" s="66">
        <f>'CCCM Dashboard'!C28</f>
        <v>138</v>
      </c>
      <c r="Y23" s="744">
        <f>'CCCM Dashboard'!$D$28</f>
        <v>764</v>
      </c>
      <c r="Z23" s="67" t="str">
        <f t="shared" si="1"/>
        <v>3 cps</v>
      </c>
      <c r="AA23" s="255" t="e">
        <f>#REF!</f>
        <v>#REF!</v>
      </c>
      <c r="AB23" s="68"/>
      <c r="AC23" s="68"/>
      <c r="AD23" s="68"/>
      <c r="AE23" s="69">
        <f t="shared" si="2"/>
        <v>210</v>
      </c>
      <c r="AF23" s="70">
        <f t="shared" si="0"/>
        <v>230</v>
      </c>
      <c r="AG23" s="71">
        <f>'CCCM Dashboard'!E28</f>
        <v>3</v>
      </c>
      <c r="AI23" s="744">
        <f>'CCCM Dashboard'!$D$28</f>
        <v>764</v>
      </c>
      <c r="AJ23" s="801">
        <f>COUNTIFS('NFI Distributions'!$B$6:$B$99,"&gt;5/1/2017",'NFI Distributions'!$F$6:$F$99,Table58[[#This Row],[Township]])</f>
        <v>0</v>
      </c>
      <c r="CY23" s="19"/>
      <c r="CZ23" s="20"/>
      <c r="DA23" s="20"/>
      <c r="DB23" s="20"/>
      <c r="DC23" s="20"/>
    </row>
    <row r="24" spans="1:110" ht="18.75" customHeight="1" x14ac:dyDescent="0.35">
      <c r="A24" s="30"/>
      <c r="B24" s="30"/>
      <c r="C24" s="30"/>
      <c r="D24" s="30"/>
      <c r="E24" s="30"/>
      <c r="F24" s="30"/>
      <c r="G24" s="30"/>
      <c r="H24" s="30"/>
      <c r="I24" s="30"/>
      <c r="J24" s="30"/>
      <c r="K24" s="30"/>
      <c r="L24" s="30"/>
      <c r="M24" s="30"/>
      <c r="N24" s="21"/>
      <c r="T24" s="393" t="s">
        <v>1164</v>
      </c>
      <c r="U24" s="394" t="s">
        <v>1165</v>
      </c>
      <c r="V24" s="395">
        <v>96.716553000000005</v>
      </c>
      <c r="W24" s="396">
        <v>26.357970999999999</v>
      </c>
      <c r="X24" s="66">
        <f>'CCCM Dashboard'!C29</f>
        <v>289</v>
      </c>
      <c r="Y24" s="745">
        <f>'CCCM Dashboard'!$D$29</f>
        <v>992</v>
      </c>
      <c r="Z24" s="67" t="str">
        <f t="shared" si="1"/>
        <v>3 cps</v>
      </c>
      <c r="AA24" s="255" t="e">
        <f>#REF!</f>
        <v>#REF!</v>
      </c>
      <c r="AB24" s="397"/>
      <c r="AC24" s="397"/>
      <c r="AD24" s="397"/>
      <c r="AE24" s="398">
        <f>$S$3-ROUND((W24-$S$1)*$S$5,0)</f>
        <v>228</v>
      </c>
      <c r="AF24" s="399">
        <f t="shared" si="0"/>
        <v>128</v>
      </c>
      <c r="AG24" s="71">
        <f>'CCCM Dashboard'!E29</f>
        <v>4</v>
      </c>
      <c r="AI24" s="745">
        <f>'CCCM Dashboard'!$D$29</f>
        <v>992</v>
      </c>
      <c r="AJ24" s="801">
        <f>COUNTIFS('NFI Distributions'!$B$6:$B$99,"&gt;5/1/2017",'NFI Distributions'!$F$6:$F$99,Table58[[#This Row],[Township]])</f>
        <v>2</v>
      </c>
      <c r="CR24" s="154"/>
      <c r="CS24" s="154"/>
      <c r="CT24" s="154"/>
      <c r="CU24" s="154"/>
      <c r="CV24" s="154"/>
      <c r="CW24" s="154"/>
      <c r="CX24" s="154"/>
      <c r="CY24" s="19"/>
      <c r="CZ24" s="20"/>
      <c r="DA24" s="20"/>
      <c r="DB24" s="20"/>
      <c r="DC24" s="20"/>
      <c r="DD24" s="154"/>
      <c r="DE24" s="154"/>
      <c r="DF24" s="154"/>
    </row>
    <row r="25" spans="1:110" ht="18.75" customHeight="1" x14ac:dyDescent="0.35">
      <c r="A25" s="23"/>
      <c r="B25" s="23"/>
      <c r="C25" s="24"/>
      <c r="D25" s="24"/>
      <c r="E25" s="25"/>
      <c r="F25" s="25"/>
      <c r="G25" s="26"/>
      <c r="H25" s="27"/>
      <c r="I25" s="27"/>
      <c r="J25" s="27"/>
      <c r="K25" s="28"/>
      <c r="L25" s="29"/>
      <c r="M25" s="30"/>
      <c r="N25" s="21"/>
      <c r="T25" s="72" t="s">
        <v>486</v>
      </c>
      <c r="U25" s="66" t="s">
        <v>309</v>
      </c>
      <c r="V25" s="72">
        <v>97.8</v>
      </c>
      <c r="W25" s="66">
        <v>25.5</v>
      </c>
      <c r="X25" s="66">
        <f>'CCCM Dashboard'!C30</f>
        <v>4781</v>
      </c>
      <c r="Y25" s="744">
        <f>'CCCM Dashboard'!$D$30</f>
        <v>24492</v>
      </c>
      <c r="Z25" s="67" t="str">
        <f t="shared" si="1"/>
        <v>4 cps</v>
      </c>
      <c r="AA25" s="255" t="e">
        <f>#REF!</f>
        <v>#REF!</v>
      </c>
      <c r="AB25" s="68">
        <v>0.37372161553128791</v>
      </c>
      <c r="AC25" s="68">
        <v>0</v>
      </c>
      <c r="AD25" s="68">
        <v>4.6281851274050934E-2</v>
      </c>
      <c r="AE25" s="69">
        <f t="shared" si="2"/>
        <v>340</v>
      </c>
      <c r="AF25" s="70">
        <f t="shared" si="0"/>
        <v>269</v>
      </c>
      <c r="AG25" s="71">
        <f>'CCCM Dashboard'!E30</f>
        <v>23</v>
      </c>
      <c r="AI25" s="744">
        <f>'CCCM Dashboard'!$D$30</f>
        <v>24492</v>
      </c>
      <c r="AJ25" s="801">
        <f>COUNTIFS('NFI Distributions'!$B$6:$B$99,"&gt;5/1/2017",'NFI Distributions'!$F$6:$F$99,Table58[[#This Row],[Township]])</f>
        <v>4</v>
      </c>
      <c r="CY25" s="19"/>
      <c r="CZ25" s="20"/>
      <c r="DA25" s="20"/>
      <c r="DB25" s="20"/>
      <c r="DC25" s="20"/>
    </row>
    <row r="26" spans="1:110" ht="18.75" customHeight="1" x14ac:dyDescent="0.35">
      <c r="T26" s="66"/>
      <c r="U26" s="66" t="s">
        <v>520</v>
      </c>
      <c r="V26" s="74" t="s">
        <v>522</v>
      </c>
      <c r="W26" s="74" t="s">
        <v>521</v>
      </c>
      <c r="X26" s="753">
        <f>SUBTOTAL(109,Table58[HS])</f>
        <v>19507</v>
      </c>
      <c r="Y26" s="753">
        <f>SUBTOTAL(109,Table58[Pop])</f>
        <v>98675</v>
      </c>
      <c r="Z26" s="67" t="str">
        <f>CONCATENATE(Table58[[#Totals],[Column1]]," camps")</f>
        <v>165 camps</v>
      </c>
      <c r="AA26" s="754" t="e">
        <f>SUMPRODUCT(Table58[Pop]*Table58[Coverage])/Table58[[#Totals],[Pop]]</f>
        <v>#REF!</v>
      </c>
      <c r="AB26" s="755">
        <f>SUMPRODUCT(Table58[Pop]*Table58[Hygiene])/Table58[[#Totals],[Pop]]</f>
        <v>0.22869920904026991</v>
      </c>
      <c r="AC26" s="755">
        <f>SUMPRODUCT(Table58[Pop]*Table58[Core])/Table58[[#Totals],[Pop]]</f>
        <v>0</v>
      </c>
      <c r="AD26" s="755">
        <f>SUMPRODUCT(Table58[Pop]*Table58[Sanitary])/Table58[[#Totals],[Pop]]</f>
        <v>0.28235588284565011</v>
      </c>
      <c r="AE26" s="756">
        <f>1000-ROUND((W26-23.5)*$S$5,0)</f>
        <v>545</v>
      </c>
      <c r="AF26" s="757">
        <f>ROUND((V26-96.5)*$S$5,0)+100</f>
        <v>35</v>
      </c>
      <c r="AG26" s="758">
        <f>SUBTOTAL(109,Table58[Column1])</f>
        <v>165</v>
      </c>
      <c r="CY26" s="19"/>
      <c r="DC26" s="1"/>
      <c r="DD26" s="13"/>
    </row>
    <row r="27" spans="1:110" ht="18.75" customHeight="1" x14ac:dyDescent="0.35">
      <c r="CY27" s="19"/>
      <c r="DC27" s="1"/>
      <c r="DD27" s="13"/>
    </row>
    <row r="28" spans="1:110" ht="18.75" customHeight="1" x14ac:dyDescent="0.35">
      <c r="P28" s="22"/>
      <c r="Q28" s="22"/>
      <c r="CY28" s="19"/>
      <c r="DC28" s="1"/>
      <c r="DD28" s="13"/>
    </row>
    <row r="29" spans="1:110" s="5" customFormat="1" ht="18.75" customHeight="1" x14ac:dyDescent="0.35">
      <c r="A29" s="3"/>
      <c r="B29" s="3"/>
      <c r="C29" s="3"/>
      <c r="D29" s="3"/>
      <c r="E29" s="3"/>
      <c r="F29" s="3"/>
      <c r="G29" s="3"/>
      <c r="H29" s="3"/>
      <c r="I29" s="3"/>
      <c r="J29" s="3"/>
      <c r="K29" s="3"/>
      <c r="L29" s="3"/>
      <c r="M29" s="3"/>
      <c r="N29" s="3"/>
      <c r="O29" s="3"/>
      <c r="P29" s="3"/>
      <c r="Q29" s="3"/>
      <c r="R29" s="3"/>
      <c r="S29" s="3"/>
      <c r="T29" s="55"/>
      <c r="U29" s="55"/>
      <c r="V29" s="55"/>
      <c r="W29" s="55"/>
      <c r="X29" s="55"/>
      <c r="Y29" s="55"/>
      <c r="Z29" s="55"/>
      <c r="AA29" s="55"/>
      <c r="AB29" s="55"/>
      <c r="AC29" s="55"/>
      <c r="AD29" s="55"/>
      <c r="AE29" s="55"/>
      <c r="AF29" s="55"/>
      <c r="AG29" s="55"/>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9"/>
      <c r="DC29" s="1"/>
      <c r="DD29" s="13"/>
    </row>
    <row r="30" spans="1:110" s="5" customFormat="1" ht="18.75" customHeight="1" x14ac:dyDescent="0.35">
      <c r="A30" s="3"/>
      <c r="B30" s="3"/>
      <c r="C30" s="3"/>
      <c r="D30" s="3"/>
      <c r="E30" s="3"/>
      <c r="F30" s="3"/>
      <c r="G30" s="3"/>
      <c r="H30" s="3"/>
      <c r="I30" s="3"/>
      <c r="J30" s="3"/>
      <c r="K30" s="3"/>
      <c r="L30" s="3"/>
      <c r="M30" s="3"/>
      <c r="N30" s="3"/>
      <c r="O30" s="3"/>
      <c r="P30" s="3"/>
      <c r="Q30" s="3"/>
      <c r="R30" s="3"/>
      <c r="S30" s="3"/>
      <c r="T30" s="55"/>
      <c r="U30" s="55"/>
      <c r="V30" s="55"/>
      <c r="W30" s="55"/>
      <c r="X30" s="55"/>
      <c r="Y30" s="55"/>
      <c r="Z30" s="55"/>
      <c r="AA30" s="55"/>
      <c r="AB30" s="55"/>
      <c r="AC30" s="55"/>
      <c r="AD30" s="55"/>
      <c r="AE30" s="55"/>
      <c r="AF30" s="55"/>
      <c r="AG30" s="55"/>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9"/>
      <c r="DC30" s="1"/>
      <c r="DD30" s="13"/>
    </row>
    <row r="31" spans="1:110" s="5" customFormat="1" ht="18.75" customHeight="1" x14ac:dyDescent="0.35">
      <c r="A31" s="3"/>
      <c r="B31" s="3"/>
      <c r="C31" s="3"/>
      <c r="D31" s="3"/>
      <c r="E31" s="3"/>
      <c r="F31" s="3"/>
      <c r="G31" s="3"/>
      <c r="H31" s="3"/>
      <c r="I31" s="3"/>
      <c r="J31" s="3"/>
      <c r="K31" s="3"/>
      <c r="L31" s="3"/>
      <c r="M31" s="3"/>
      <c r="N31" s="3"/>
      <c r="O31" s="3"/>
      <c r="P31" s="3"/>
      <c r="Q31" s="3"/>
      <c r="R31" s="3"/>
      <c r="S31" s="3"/>
      <c r="T31" s="55"/>
      <c r="U31" s="55"/>
      <c r="V31" s="55"/>
      <c r="W31" s="55"/>
      <c r="X31" s="55"/>
      <c r="Y31" s="55"/>
      <c r="Z31" s="55"/>
      <c r="AA31" s="55"/>
      <c r="AB31" s="55"/>
      <c r="AC31" s="55"/>
      <c r="AD31" s="55"/>
      <c r="AE31" s="55"/>
      <c r="AF31" s="55"/>
      <c r="AG31" s="55"/>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9"/>
      <c r="DC31" s="1"/>
      <c r="DD31" s="13"/>
    </row>
    <row r="32" spans="1:110" s="5" customFormat="1" ht="18.75" customHeight="1" x14ac:dyDescent="0.35">
      <c r="A32" s="3"/>
      <c r="B32" s="3"/>
      <c r="C32" s="3"/>
      <c r="D32" s="3"/>
      <c r="E32" s="3"/>
      <c r="F32" s="3"/>
      <c r="G32" s="3"/>
      <c r="H32" s="3"/>
      <c r="I32" s="3"/>
      <c r="J32" s="3"/>
      <c r="K32" s="3"/>
      <c r="L32" s="3"/>
      <c r="M32" s="3"/>
      <c r="N32" s="3"/>
      <c r="O32" s="3"/>
      <c r="P32" s="3"/>
      <c r="Q32" s="3"/>
      <c r="R32" s="3"/>
      <c r="S32" s="3"/>
      <c r="T32" s="55"/>
      <c r="U32" s="55"/>
      <c r="V32" s="55"/>
      <c r="W32" s="55"/>
      <c r="X32" s="55"/>
      <c r="Y32" s="55"/>
      <c r="Z32" s="55"/>
      <c r="AA32" s="55"/>
      <c r="AB32" s="55"/>
      <c r="AC32" s="55"/>
      <c r="AD32" s="55"/>
      <c r="AE32" s="55"/>
      <c r="AF32" s="55"/>
      <c r="AG32" s="55"/>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9"/>
      <c r="DC32" s="1"/>
      <c r="DD32" s="13"/>
    </row>
    <row r="33" spans="1:109" s="5" customFormat="1" ht="18.75" customHeight="1" x14ac:dyDescent="0.35">
      <c r="A33" s="3"/>
      <c r="B33" s="3"/>
      <c r="C33" s="3"/>
      <c r="D33" s="3"/>
      <c r="E33" s="3"/>
      <c r="F33" s="3"/>
      <c r="G33" s="3"/>
      <c r="H33" s="3"/>
      <c r="I33" s="3"/>
      <c r="J33" s="3"/>
      <c r="K33" s="3"/>
      <c r="L33" s="3"/>
      <c r="M33" s="3"/>
      <c r="N33" s="3"/>
      <c r="O33" s="3"/>
      <c r="P33" s="3"/>
      <c r="Q33" s="3"/>
      <c r="R33" s="3"/>
      <c r="S33" s="3"/>
      <c r="T33" s="55"/>
      <c r="U33" s="55"/>
      <c r="V33" s="55"/>
      <c r="W33" s="55"/>
      <c r="X33" s="55"/>
      <c r="Y33" s="55"/>
      <c r="Z33" s="55"/>
      <c r="AA33" s="55"/>
      <c r="AB33" s="55"/>
      <c r="AC33" s="55"/>
      <c r="AD33" s="55"/>
      <c r="AE33" s="55"/>
      <c r="AF33" s="55"/>
      <c r="AG33" s="55"/>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9"/>
      <c r="DC33" s="1"/>
      <c r="DD33" s="13"/>
    </row>
    <row r="34" spans="1:109" s="5" customFormat="1" ht="18.75" customHeight="1" x14ac:dyDescent="0.35">
      <c r="A34" s="3"/>
      <c r="B34" s="3"/>
      <c r="C34" s="3"/>
      <c r="D34" s="3"/>
      <c r="E34" s="3"/>
      <c r="F34" s="3"/>
      <c r="G34" s="3"/>
      <c r="H34" s="3"/>
      <c r="I34" s="3"/>
      <c r="J34" s="3"/>
      <c r="K34" s="3"/>
      <c r="L34" s="3"/>
      <c r="M34" s="3"/>
      <c r="N34" s="3"/>
      <c r="O34" s="3"/>
      <c r="P34" s="3"/>
      <c r="Q34" s="3"/>
      <c r="R34" s="3"/>
      <c r="S34" s="3"/>
      <c r="T34" s="55"/>
      <c r="U34" s="55"/>
      <c r="V34" s="55"/>
      <c r="W34" s="55"/>
      <c r="X34" s="55"/>
      <c r="Y34" s="55"/>
      <c r="Z34" s="55"/>
      <c r="AA34" s="55"/>
      <c r="AB34" s="55"/>
      <c r="AC34" s="55"/>
      <c r="AD34" s="55"/>
      <c r="AE34" s="55"/>
      <c r="AF34" s="55"/>
      <c r="AG34" s="55"/>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3"/>
    </row>
    <row r="35" spans="1:109" s="5" customFormat="1" ht="18.75" customHeight="1" x14ac:dyDescent="0.35">
      <c r="A35" s="3"/>
      <c r="B35" s="3"/>
      <c r="C35" s="3"/>
      <c r="D35" s="3"/>
      <c r="E35" s="3"/>
      <c r="F35" s="3"/>
      <c r="G35" s="3"/>
      <c r="H35" s="3"/>
      <c r="I35" s="3"/>
      <c r="J35" s="3"/>
      <c r="K35" s="3"/>
      <c r="L35" s="3"/>
      <c r="M35" s="3"/>
      <c r="N35" s="3"/>
      <c r="O35" s="3"/>
      <c r="P35" s="3"/>
      <c r="Q35" s="3"/>
      <c r="R35" s="3"/>
      <c r="S35" s="3"/>
      <c r="T35" s="55"/>
      <c r="U35" s="55"/>
      <c r="V35" s="55"/>
      <c r="W35" s="55"/>
      <c r="X35" s="55"/>
      <c r="Y35" s="55"/>
      <c r="Z35" s="55"/>
      <c r="AA35" s="55"/>
      <c r="AB35" s="55"/>
      <c r="AC35" s="55"/>
      <c r="AD35" s="55"/>
      <c r="AE35" s="55"/>
      <c r="AF35" s="55"/>
      <c r="AG35" s="55"/>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3"/>
    </row>
    <row r="36" spans="1:109" s="5" customFormat="1" ht="18.75" customHeight="1" x14ac:dyDescent="0.35">
      <c r="A36" s="3"/>
      <c r="B36" s="3"/>
      <c r="C36" s="3"/>
      <c r="D36" s="3"/>
      <c r="E36" s="3"/>
      <c r="F36" s="3"/>
      <c r="G36" s="3"/>
      <c r="H36" s="3"/>
      <c r="I36" s="3"/>
      <c r="J36" s="3"/>
      <c r="K36" s="3"/>
      <c r="L36" s="3"/>
      <c r="M36" s="3"/>
      <c r="N36" s="3"/>
      <c r="O36" s="3"/>
      <c r="P36" s="3"/>
      <c r="Q36" s="3"/>
      <c r="R36" s="3"/>
      <c r="S36" s="3"/>
      <c r="T36" s="55"/>
      <c r="U36" s="55"/>
      <c r="V36" s="55"/>
      <c r="W36" s="55"/>
      <c r="X36" s="55"/>
      <c r="Y36" s="55"/>
      <c r="Z36" s="55"/>
      <c r="AA36" s="55">
        <v>24215</v>
      </c>
      <c r="AB36" s="55"/>
      <c r="AC36" s="55"/>
      <c r="AD36" s="55"/>
      <c r="AE36" s="55"/>
      <c r="AF36" s="55"/>
      <c r="AG36" s="55"/>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3"/>
    </row>
    <row r="37" spans="1:109" s="5" customFormat="1" ht="18.75" customHeight="1" x14ac:dyDescent="0.35">
      <c r="A37" s="3"/>
      <c r="B37" s="3"/>
      <c r="C37" s="3"/>
      <c r="D37" s="3"/>
      <c r="E37" s="3"/>
      <c r="F37" s="3"/>
      <c r="G37" s="3"/>
      <c r="H37" s="3"/>
      <c r="I37" s="3"/>
      <c r="J37" s="3"/>
      <c r="K37" s="3"/>
      <c r="L37" s="3"/>
      <c r="M37" s="3"/>
      <c r="N37" s="3"/>
      <c r="O37" s="3"/>
      <c r="P37" s="3"/>
      <c r="Q37" s="3"/>
      <c r="R37" s="3"/>
      <c r="S37" s="3"/>
      <c r="T37" s="55"/>
      <c r="U37" s="55"/>
      <c r="V37" s="55"/>
      <c r="W37" s="55"/>
      <c r="X37" s="55"/>
      <c r="Y37" s="55"/>
      <c r="Z37" s="55"/>
      <c r="AA37" s="55"/>
      <c r="AB37" s="55"/>
      <c r="AC37" s="55"/>
      <c r="AD37" s="55"/>
      <c r="AE37" s="55"/>
      <c r="AF37" s="55"/>
      <c r="AG37" s="55"/>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3"/>
    </row>
    <row r="38" spans="1:109" s="5" customFormat="1" ht="18.75" customHeight="1" x14ac:dyDescent="0.35">
      <c r="A38" s="3"/>
      <c r="B38" s="3"/>
      <c r="C38" s="3"/>
      <c r="D38" s="3"/>
      <c r="E38" s="3"/>
      <c r="F38" s="3"/>
      <c r="G38" s="3"/>
      <c r="H38" s="3"/>
      <c r="I38" s="3"/>
      <c r="J38" s="3"/>
      <c r="K38" s="3"/>
      <c r="L38" s="3"/>
      <c r="M38" s="3"/>
      <c r="N38" s="3"/>
      <c r="O38" s="3"/>
      <c r="P38" s="3"/>
      <c r="Q38" s="3"/>
      <c r="R38" s="3"/>
      <c r="S38" s="3"/>
      <c r="T38" s="55"/>
      <c r="U38" s="55"/>
      <c r="V38" s="55"/>
      <c r="W38" s="55"/>
      <c r="X38" s="55"/>
      <c r="Y38" s="55"/>
      <c r="Z38" s="55"/>
      <c r="AA38" s="55"/>
      <c r="AB38" s="55"/>
      <c r="AC38" s="55"/>
      <c r="AD38" s="55"/>
      <c r="AE38" s="55"/>
      <c r="AF38" s="55"/>
      <c r="AG38" s="55"/>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3"/>
    </row>
    <row r="39" spans="1:109" s="5" customFormat="1" ht="18.75" customHeight="1" x14ac:dyDescent="0.35">
      <c r="A39" s="3"/>
      <c r="B39" s="3"/>
      <c r="C39" s="3"/>
      <c r="D39" s="3"/>
      <c r="E39" s="3"/>
      <c r="F39" s="3"/>
      <c r="G39" s="3"/>
      <c r="H39" s="3"/>
      <c r="I39" s="3"/>
      <c r="J39" s="3"/>
      <c r="K39" s="3"/>
      <c r="L39" s="3"/>
      <c r="M39" s="3"/>
      <c r="N39" s="3"/>
      <c r="O39" s="3"/>
      <c r="P39" s="3"/>
      <c r="Q39" s="3"/>
      <c r="R39" s="3"/>
      <c r="S39" s="3"/>
      <c r="T39" s="55"/>
      <c r="U39" s="55"/>
      <c r="V39" s="55"/>
      <c r="W39" s="55"/>
      <c r="X39" s="55"/>
      <c r="Y39" s="55"/>
      <c r="Z39" s="55"/>
      <c r="AA39" s="55"/>
      <c r="AB39" s="55"/>
      <c r="AC39" s="55"/>
      <c r="AD39" s="55"/>
      <c r="AE39" s="55"/>
      <c r="AF39" s="55"/>
      <c r="AG39" s="55"/>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3"/>
    </row>
    <row r="40" spans="1:109" s="5" customFormat="1" ht="18.75" customHeight="1" x14ac:dyDescent="0.35">
      <c r="A40" s="3"/>
      <c r="B40" s="3"/>
      <c r="C40" s="3"/>
      <c r="D40" s="3"/>
      <c r="E40" s="3"/>
      <c r="F40" s="3"/>
      <c r="G40" s="3"/>
      <c r="H40" s="3"/>
      <c r="I40" s="3"/>
      <c r="J40" s="3"/>
      <c r="K40" s="3"/>
      <c r="L40" s="3"/>
      <c r="M40" s="3"/>
      <c r="N40" s="3"/>
      <c r="O40" s="3"/>
      <c r="P40" s="3"/>
      <c r="Q40" s="3"/>
      <c r="R40" s="3"/>
      <c r="S40" s="3"/>
      <c r="T40" s="55"/>
      <c r="U40" s="55"/>
      <c r="V40" s="55"/>
      <c r="W40" s="55"/>
      <c r="X40" s="55"/>
      <c r="Y40" s="55"/>
      <c r="Z40" s="55"/>
      <c r="AA40" s="55"/>
      <c r="AB40" s="55"/>
      <c r="AC40" s="55"/>
      <c r="AD40" s="55"/>
      <c r="AE40" s="55"/>
      <c r="AF40" s="55"/>
      <c r="AG40" s="55"/>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3"/>
    </row>
    <row r="41" spans="1:109" s="5" customFormat="1" ht="18.75" customHeight="1" x14ac:dyDescent="0.35">
      <c r="A41" s="3"/>
      <c r="B41" s="3"/>
      <c r="C41" s="3"/>
      <c r="D41" s="3"/>
      <c r="E41" s="3"/>
      <c r="F41" s="3"/>
      <c r="G41" s="3"/>
      <c r="H41" s="3"/>
      <c r="I41" s="3"/>
      <c r="J41" s="3"/>
      <c r="K41" s="3"/>
      <c r="L41" s="3"/>
      <c r="M41" s="3"/>
      <c r="N41" s="3"/>
      <c r="O41" s="3"/>
      <c r="P41" s="3"/>
      <c r="Q41" s="3"/>
      <c r="R41" s="3"/>
      <c r="S41" s="3"/>
      <c r="T41" s="55"/>
      <c r="U41" s="55"/>
      <c r="V41" s="55"/>
      <c r="W41" s="55"/>
      <c r="X41" s="55"/>
      <c r="Y41" s="55"/>
      <c r="Z41" s="55"/>
      <c r="AA41" s="55"/>
      <c r="AB41" s="55"/>
      <c r="AC41" s="55"/>
      <c r="AD41" s="55"/>
      <c r="AE41" s="55"/>
      <c r="AF41" s="55"/>
      <c r="AG41" s="55"/>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3"/>
    </row>
    <row r="42" spans="1:109" s="5" customFormat="1" ht="18.75" customHeight="1" x14ac:dyDescent="0.35">
      <c r="A42" s="3"/>
      <c r="B42" s="3"/>
      <c r="C42" s="3"/>
      <c r="D42" s="3"/>
      <c r="E42" s="3"/>
      <c r="F42" s="3"/>
      <c r="G42" s="3"/>
      <c r="H42" s="3"/>
      <c r="I42" s="3"/>
      <c r="J42" s="3"/>
      <c r="K42" s="3"/>
      <c r="L42" s="3"/>
      <c r="M42" s="3"/>
      <c r="N42" s="3"/>
      <c r="O42" s="3"/>
      <c r="P42" s="3"/>
      <c r="Q42" s="3"/>
      <c r="R42" s="3"/>
      <c r="S42" s="3"/>
      <c r="T42" s="55"/>
      <c r="U42" s="55"/>
      <c r="V42" s="55"/>
      <c r="W42" s="55"/>
      <c r="X42" s="55"/>
      <c r="Y42" s="55"/>
      <c r="Z42" s="55"/>
      <c r="AA42" s="55"/>
      <c r="AB42" s="55"/>
      <c r="AC42" s="55"/>
      <c r="AD42" s="55"/>
      <c r="AE42" s="55"/>
      <c r="AF42" s="55"/>
      <c r="AG42" s="55"/>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3"/>
    </row>
    <row r="43" spans="1:109" s="5" customFormat="1" ht="18.75" customHeight="1" x14ac:dyDescent="0.35">
      <c r="A43" s="3"/>
      <c r="B43" s="3"/>
      <c r="C43" s="3"/>
      <c r="D43" s="3"/>
      <c r="E43" s="3"/>
      <c r="F43" s="3"/>
      <c r="G43" s="3"/>
      <c r="H43" s="3"/>
      <c r="I43" s="3"/>
      <c r="J43" s="3"/>
      <c r="K43" s="3"/>
      <c r="L43" s="3"/>
      <c r="M43" s="3"/>
      <c r="N43" s="3"/>
      <c r="O43" s="3"/>
      <c r="P43" s="3"/>
      <c r="Q43" s="3"/>
      <c r="R43" s="3"/>
      <c r="S43" s="3"/>
      <c r="T43" s="55"/>
      <c r="U43" s="55"/>
      <c r="V43" s="55"/>
      <c r="W43" s="55"/>
      <c r="X43" s="55"/>
      <c r="Y43" s="55"/>
      <c r="Z43" s="55"/>
      <c r="AA43" s="55"/>
      <c r="AB43" s="55"/>
      <c r="AC43" s="55"/>
      <c r="AD43" s="55"/>
      <c r="AE43" s="55"/>
      <c r="AF43" s="55"/>
      <c r="AG43" s="55"/>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3"/>
    </row>
    <row r="44" spans="1:109" s="5" customFormat="1" ht="18.75" customHeight="1" x14ac:dyDescent="0.35">
      <c r="A44" s="3"/>
      <c r="B44" s="3"/>
      <c r="C44" s="3"/>
      <c r="D44" s="3"/>
      <c r="E44" s="3"/>
      <c r="F44" s="3"/>
      <c r="G44" s="3"/>
      <c r="H44" s="3"/>
      <c r="I44" s="3"/>
      <c r="J44" s="3"/>
      <c r="K44" s="3"/>
      <c r="L44" s="3"/>
      <c r="M44" s="3"/>
      <c r="N44" s="3"/>
      <c r="O44" s="3"/>
      <c r="P44" s="3"/>
      <c r="Q44" s="3"/>
      <c r="R44" s="3"/>
      <c r="S44" s="3"/>
      <c r="T44" s="55"/>
      <c r="U44" s="55"/>
      <c r="V44" s="55"/>
      <c r="W44" s="55"/>
      <c r="X44" s="55"/>
      <c r="Y44" s="55"/>
      <c r="Z44" s="55"/>
      <c r="AA44" s="55"/>
      <c r="AB44" s="55"/>
      <c r="AC44" s="55"/>
      <c r="AD44" s="55"/>
      <c r="AE44" s="55"/>
      <c r="AF44" s="55"/>
      <c r="AG44" s="55"/>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3"/>
    </row>
    <row r="45" spans="1:109" s="5" customFormat="1" ht="18.75" customHeight="1" x14ac:dyDescent="0.35">
      <c r="A45" s="3"/>
      <c r="B45" s="3"/>
      <c r="C45" s="3"/>
      <c r="D45" s="3"/>
      <c r="E45" s="3"/>
      <c r="F45" s="3"/>
      <c r="G45" s="3"/>
      <c r="H45" s="3"/>
      <c r="I45" s="3"/>
      <c r="J45" s="3"/>
      <c r="K45" s="3"/>
      <c r="L45" s="3"/>
      <c r="M45" s="3"/>
      <c r="N45" s="3"/>
      <c r="O45" s="3"/>
      <c r="P45" s="3"/>
      <c r="Q45" s="3"/>
      <c r="R45" s="3"/>
      <c r="S45" s="3"/>
      <c r="T45" s="55"/>
      <c r="U45" s="55"/>
      <c r="V45" s="55"/>
      <c r="W45" s="55"/>
      <c r="X45" s="55"/>
      <c r="Y45" s="55"/>
      <c r="Z45" s="55"/>
      <c r="AA45" s="55"/>
      <c r="AB45" s="55"/>
      <c r="AC45" s="55"/>
      <c r="AD45" s="55"/>
      <c r="AE45" s="55"/>
      <c r="AF45" s="55"/>
      <c r="AG45" s="55"/>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3"/>
    </row>
    <row r="46" spans="1:109" s="5" customFormat="1" ht="18.75" customHeight="1" x14ac:dyDescent="0.35">
      <c r="A46" s="3"/>
      <c r="B46" s="3"/>
      <c r="C46" s="3"/>
      <c r="D46" s="3"/>
      <c r="E46" s="3"/>
      <c r="F46" s="3"/>
      <c r="G46" s="3"/>
      <c r="H46" s="3"/>
      <c r="I46" s="3"/>
      <c r="J46" s="3"/>
      <c r="K46" s="3"/>
      <c r="L46" s="3"/>
      <c r="M46" s="3"/>
      <c r="N46" s="3"/>
      <c r="O46" s="3"/>
      <c r="P46" s="3"/>
      <c r="Q46" s="3"/>
      <c r="R46" s="3"/>
      <c r="S46" s="3"/>
      <c r="T46" s="55"/>
      <c r="U46" s="55"/>
      <c r="V46" s="55"/>
      <c r="W46" s="55"/>
      <c r="X46" s="55"/>
      <c r="Y46" s="55"/>
      <c r="Z46" s="55"/>
      <c r="AA46" s="55"/>
      <c r="AB46" s="55"/>
      <c r="AC46" s="55"/>
      <c r="AD46" s="55"/>
      <c r="AE46" s="55"/>
      <c r="AF46" s="55"/>
      <c r="AG46" s="55"/>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3"/>
    </row>
    <row r="47" spans="1:109" s="5" customFormat="1" ht="12" customHeight="1" x14ac:dyDescent="0.35">
      <c r="A47" s="3"/>
      <c r="B47" s="3"/>
      <c r="C47" s="3"/>
      <c r="D47" s="3"/>
      <c r="E47" s="3"/>
      <c r="F47" s="3"/>
      <c r="G47" s="3"/>
      <c r="H47" s="3"/>
      <c r="I47" s="3"/>
      <c r="J47" s="3"/>
      <c r="K47" s="3"/>
      <c r="L47" s="3"/>
      <c r="M47" s="3"/>
      <c r="N47" s="3"/>
      <c r="O47" s="3"/>
      <c r="P47" s="3"/>
      <c r="Q47" s="3"/>
      <c r="R47" s="3"/>
      <c r="S47" s="3"/>
      <c r="T47" s="55"/>
      <c r="U47" s="55"/>
      <c r="V47" s="55"/>
      <c r="W47" s="55"/>
      <c r="X47" s="55"/>
      <c r="Y47" s="55"/>
      <c r="Z47" s="55"/>
      <c r="AA47" s="55"/>
      <c r="AB47" s="55"/>
      <c r="AC47" s="55"/>
      <c r="AD47" s="55"/>
      <c r="AE47" s="55"/>
      <c r="AF47" s="55"/>
      <c r="AG47" s="55"/>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3"/>
    </row>
    <row r="48" spans="1:109" s="5" customFormat="1" ht="12" customHeight="1" x14ac:dyDescent="0.35">
      <c r="A48" s="3"/>
      <c r="B48" s="3"/>
      <c r="C48" s="3"/>
      <c r="D48" s="3"/>
      <c r="E48" s="3"/>
      <c r="F48" s="3"/>
      <c r="G48" s="3"/>
      <c r="H48" s="3"/>
      <c r="I48" s="3"/>
      <c r="J48" s="3"/>
      <c r="K48" s="3"/>
      <c r="L48" s="3"/>
      <c r="M48" s="3"/>
      <c r="N48" s="3"/>
      <c r="O48" s="3"/>
      <c r="P48" s="3"/>
      <c r="Q48" s="3"/>
      <c r="R48" s="3"/>
      <c r="S48" s="3"/>
      <c r="T48" s="55"/>
      <c r="U48" s="55"/>
      <c r="V48" s="55"/>
      <c r="W48" s="55"/>
      <c r="X48" s="55"/>
      <c r="Y48" s="55"/>
      <c r="Z48" s="55"/>
      <c r="AA48" s="55"/>
      <c r="AB48" s="55"/>
      <c r="AC48" s="55"/>
      <c r="AD48" s="55"/>
      <c r="AE48" s="55"/>
      <c r="AF48" s="55"/>
      <c r="AG48" s="55"/>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3"/>
      <c r="DE48" s="13"/>
    </row>
    <row r="49" spans="1:109" s="5" customFormat="1" ht="12" customHeight="1" x14ac:dyDescent="0.35">
      <c r="A49" s="3"/>
      <c r="B49" s="3"/>
      <c r="C49" s="3"/>
      <c r="D49" s="3"/>
      <c r="E49" s="3"/>
      <c r="F49" s="3"/>
      <c r="G49" s="3"/>
      <c r="H49" s="3"/>
      <c r="I49" s="3"/>
      <c r="J49" s="3"/>
      <c r="K49" s="3"/>
      <c r="L49" s="3"/>
      <c r="M49" s="3"/>
      <c r="N49" s="3"/>
      <c r="O49" s="3"/>
      <c r="P49" s="3"/>
      <c r="Q49" s="3"/>
      <c r="R49" s="3"/>
      <c r="S49" s="3"/>
      <c r="T49" s="55"/>
      <c r="U49" s="55"/>
      <c r="V49" s="55"/>
      <c r="W49" s="55"/>
      <c r="X49" s="55"/>
      <c r="Y49" s="55"/>
      <c r="Z49" s="55"/>
      <c r="AA49" s="55"/>
      <c r="AB49" s="55"/>
      <c r="AC49" s="55"/>
      <c r="AD49" s="55"/>
      <c r="AE49" s="55"/>
      <c r="AF49" s="55"/>
      <c r="AG49" s="55"/>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3"/>
      <c r="DE49" s="13"/>
    </row>
    <row r="50" spans="1:109" s="5" customFormat="1" ht="12" customHeight="1" x14ac:dyDescent="0.35">
      <c r="A50" s="3"/>
      <c r="B50" s="3"/>
      <c r="C50" s="3"/>
      <c r="D50" s="3"/>
      <c r="E50" s="3"/>
      <c r="F50" s="3"/>
      <c r="G50" s="3"/>
      <c r="H50" s="3"/>
      <c r="I50" s="3"/>
      <c r="J50" s="3"/>
      <c r="K50" s="3"/>
      <c r="L50" s="3"/>
      <c r="M50" s="3"/>
      <c r="N50" s="3"/>
      <c r="O50" s="3"/>
      <c r="P50" s="3"/>
      <c r="Q50" s="3"/>
      <c r="R50" s="3"/>
      <c r="S50" s="3"/>
      <c r="T50" s="55"/>
      <c r="U50" s="55"/>
      <c r="V50" s="55"/>
      <c r="W50" s="55"/>
      <c r="X50" s="55"/>
      <c r="Y50" s="55"/>
      <c r="Z50" s="55"/>
      <c r="AA50" s="55"/>
      <c r="AB50" s="55"/>
      <c r="AC50" s="55"/>
      <c r="AD50" s="55"/>
      <c r="AE50" s="55"/>
      <c r="AF50" s="55"/>
      <c r="AG50" s="55"/>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3"/>
      <c r="DE50" s="13"/>
    </row>
    <row r="51" spans="1:109" s="5" customFormat="1" ht="12" customHeight="1" x14ac:dyDescent="0.35">
      <c r="A51" s="3"/>
      <c r="B51" s="3"/>
      <c r="C51" s="3"/>
      <c r="D51" s="3"/>
      <c r="E51" s="3"/>
      <c r="F51" s="3"/>
      <c r="G51" s="3"/>
      <c r="H51" s="3"/>
      <c r="I51" s="3"/>
      <c r="J51" s="3"/>
      <c r="K51" s="3"/>
      <c r="L51" s="3"/>
      <c r="M51" s="3"/>
      <c r="N51" s="3"/>
      <c r="O51" s="3"/>
      <c r="P51" s="3"/>
      <c r="Q51" s="3"/>
      <c r="R51" s="3"/>
      <c r="S51" s="3"/>
      <c r="T51" s="55"/>
      <c r="U51" s="55"/>
      <c r="V51" s="55"/>
      <c r="W51" s="55"/>
      <c r="X51" s="55"/>
      <c r="Y51" s="55"/>
      <c r="Z51" s="55"/>
      <c r="AA51" s="55"/>
      <c r="AB51" s="55"/>
      <c r="AC51" s="55"/>
      <c r="AD51" s="55"/>
      <c r="AE51" s="55"/>
      <c r="AF51" s="55"/>
      <c r="AG51" s="55"/>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3"/>
      <c r="DE51" s="13"/>
    </row>
    <row r="52" spans="1:109" s="5" customFormat="1" ht="12" customHeight="1" x14ac:dyDescent="0.35">
      <c r="A52" s="3"/>
      <c r="B52" s="3"/>
      <c r="C52" s="3"/>
      <c r="D52" s="3"/>
      <c r="E52" s="3"/>
      <c r="F52" s="3"/>
      <c r="G52" s="3"/>
      <c r="H52" s="3"/>
      <c r="I52" s="3"/>
      <c r="J52" s="3"/>
      <c r="K52" s="3"/>
      <c r="L52" s="3"/>
      <c r="M52" s="3"/>
      <c r="N52" s="3"/>
      <c r="O52" s="3"/>
      <c r="P52" s="3"/>
      <c r="Q52" s="3"/>
      <c r="R52" s="3"/>
      <c r="S52" s="3"/>
      <c r="T52" s="55"/>
      <c r="U52" s="55"/>
      <c r="V52" s="55"/>
      <c r="W52" s="55"/>
      <c r="X52" s="55"/>
      <c r="Y52" s="55"/>
      <c r="Z52" s="55"/>
      <c r="AA52" s="55"/>
      <c r="AB52" s="55"/>
      <c r="AC52" s="55"/>
      <c r="AD52" s="55"/>
      <c r="AE52" s="55"/>
      <c r="AF52" s="55"/>
      <c r="AG52" s="55"/>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3"/>
      <c r="DE52" s="13"/>
    </row>
    <row r="53" spans="1:109" s="5" customFormat="1" ht="12" customHeight="1" x14ac:dyDescent="0.35">
      <c r="A53" s="3"/>
      <c r="B53" s="3"/>
      <c r="C53" s="3"/>
      <c r="D53" s="3"/>
      <c r="E53" s="3"/>
      <c r="F53" s="3"/>
      <c r="G53" s="3"/>
      <c r="H53" s="3"/>
      <c r="I53" s="3"/>
      <c r="J53" s="3"/>
      <c r="K53" s="3"/>
      <c r="L53" s="3"/>
      <c r="M53" s="3"/>
      <c r="N53" s="3"/>
      <c r="O53" s="3"/>
      <c r="P53" s="3"/>
      <c r="Q53" s="3"/>
      <c r="R53" s="3"/>
      <c r="S53" s="3"/>
      <c r="T53" s="55"/>
      <c r="U53" s="55"/>
      <c r="V53" s="55"/>
      <c r="W53" s="55"/>
      <c r="X53" s="55"/>
      <c r="Y53" s="55"/>
      <c r="Z53" s="55"/>
      <c r="AA53" s="55"/>
      <c r="AB53" s="55"/>
      <c r="AC53" s="55"/>
      <c r="AD53" s="55"/>
      <c r="AE53" s="55"/>
      <c r="AF53" s="55"/>
      <c r="AG53" s="55"/>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3"/>
      <c r="DE53" s="13"/>
    </row>
    <row r="54" spans="1:109" s="5" customFormat="1" ht="12" customHeight="1" x14ac:dyDescent="0.35">
      <c r="A54" s="3"/>
      <c r="B54" s="3"/>
      <c r="C54" s="3"/>
      <c r="D54" s="3"/>
      <c r="E54" s="3"/>
      <c r="F54" s="3"/>
      <c r="G54" s="3"/>
      <c r="H54" s="3"/>
      <c r="I54" s="3"/>
      <c r="J54" s="3"/>
      <c r="K54" s="3"/>
      <c r="L54" s="3"/>
      <c r="M54" s="3"/>
      <c r="N54" s="3"/>
      <c r="O54" s="3"/>
      <c r="P54" s="3"/>
      <c r="Q54" s="3"/>
      <c r="R54" s="3"/>
      <c r="S54" s="3"/>
      <c r="T54" s="55"/>
      <c r="U54" s="55"/>
      <c r="V54" s="55"/>
      <c r="W54" s="55"/>
      <c r="X54" s="55"/>
      <c r="Y54" s="55"/>
      <c r="Z54" s="55"/>
      <c r="AA54" s="55"/>
      <c r="AB54" s="55"/>
      <c r="AC54" s="55"/>
      <c r="AD54" s="55"/>
      <c r="AE54" s="55"/>
      <c r="AF54" s="55"/>
      <c r="AG54" s="55"/>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3"/>
      <c r="DE54" s="13"/>
    </row>
  </sheetData>
  <dataConsolidate link="1"/>
  <conditionalFormatting sqref="H25:K25 AA3:AD26">
    <cfRule type="cellIs" dxfId="1153" priority="1" operator="between">
      <formula>0.4</formula>
      <formula>0.6</formula>
    </cfRule>
    <cfRule type="cellIs" dxfId="1152" priority="2" operator="greaterThan">
      <formula>0.8</formula>
    </cfRule>
    <cfRule type="cellIs" dxfId="1151" priority="3" operator="between">
      <formula>0.6</formula>
      <formula>0.8</formula>
    </cfRule>
    <cfRule type="cellIs" dxfId="1150" priority="4" operator="between">
      <formula>0.2</formula>
      <formula>0.4</formula>
    </cfRule>
    <cfRule type="cellIs" dxfId="114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465</v>
      </c>
      <c r="D1" t="s">
        <v>419</v>
      </c>
    </row>
    <row r="2" spans="1:5" x14ac:dyDescent="0.25">
      <c r="A2" t="s">
        <v>508</v>
      </c>
      <c r="B2" s="659">
        <f>IF('IDP location Analysis'!$O$4="All",SUMIFS(CampList[[#All],[Total]],CampList[[#All],[Status]],"Open",CampList[[#All],[Accessibility]],"GCA",CampList[[#All],[Type of Accommodation]],"Camp"),SUMIFS(CampList[[#All],[Total]],CampList[[#All],[Status]],"Open",CampList[[#All],[Accessibility]],"GCA",CampList[[#All],[Type of Accommodation]],"Camp",CampList[[#All],[State]],'IDP location Analysis'!$O$4))</f>
        <v>49678</v>
      </c>
      <c r="C2" s="684"/>
      <c r="D2" s="405" t="s">
        <v>1601</v>
      </c>
      <c r="E2" s="405"/>
    </row>
    <row r="3" spans="1:5" x14ac:dyDescent="0.25">
      <c r="A3" t="s">
        <v>1588</v>
      </c>
      <c r="B3" s="659">
        <f>IF('IDP location Analysis'!$O$4="All",SUMIFS(CampList[[#All],[Total]],CampList[[#All],[Status]],"Open",CampList[[#All],[Accessibility]],"GCA",CampList[[#All],[Type of Accommodation]],"Host Families"),SUMIFS(CampList[[#All],[Total]],CampList[[#All],[Status]],"Open",CampList[[#All],[Accessibility]],"GCA",CampList[[#All],[Type of Accommodation]],"Host Families",CampList[[#All],[State]],'IDP location Analysis'!$O$4))</f>
        <v>5467</v>
      </c>
      <c r="C3" s="684"/>
      <c r="D3" t="s">
        <v>1296</v>
      </c>
      <c r="E3" s="405">
        <f>COUNTIF('NFI Distributions'!C5:C46,"NRC")</f>
        <v>16</v>
      </c>
    </row>
    <row r="4" spans="1:5" x14ac:dyDescent="0.25">
      <c r="A4" t="s">
        <v>853</v>
      </c>
      <c r="B4" s="659">
        <f>IF('IDP location Analysis'!$O$4="All",SUMIFS(CampList[[#All],[Total]],CampList[[#All],[Status]],"Open",CampList[[#All],[Accessibility]],"GCA",CampList[[#All],[Type of Accommodation]],"Boarding School"),SUMIFS(CampList[[#All],[Total]],CampList[[#All],[Status]],"Open",CampList[[#All],[Accessibility]],"GCA",CampList[[#All],[Type of Accommodation]],"Boarding School",CampList[[#All],[State]],'IDP location Analysis'!$O$4))</f>
        <v>0</v>
      </c>
      <c r="C4" s="685"/>
      <c r="D4" t="s">
        <v>1599</v>
      </c>
      <c r="E4">
        <f>COUNTIF('NFI Distributions'!C25:C47,"NRC/KBC")</f>
        <v>6</v>
      </c>
    </row>
    <row r="5" spans="1:5" x14ac:dyDescent="0.25">
      <c r="A5" t="s">
        <v>1574</v>
      </c>
      <c r="B5" s="659">
        <f>IF('IDP location Analysis'!$O$4="All",SUMIFS(CampList[[#All],[Total]],CampList[[#All],[Status]],"Open",CampList[[#All],[Accessibility]],"GCA",CampList[[#All],[Type of Accommodation]],"Camp like setting"),SUMIFS(CampList[[#All],[Total]],CampList[[#All],[Status]],"Open",CampList[[#All],[Accessibility]],"GCA",CampList[[#All],[Type of Accommodation]],"Camp like setting",CampList[[#All],[State]],'IDP location Analysis'!$O$4))</f>
        <v>4632</v>
      </c>
      <c r="C5" s="684"/>
      <c r="D5" t="s">
        <v>780</v>
      </c>
      <c r="E5" s="405">
        <f>COUNTIF('NFI Distributions'!C26:C48,"Metta")</f>
        <v>1</v>
      </c>
    </row>
    <row r="6" spans="1:5" x14ac:dyDescent="0.25">
      <c r="D6" t="s">
        <v>827</v>
      </c>
      <c r="E6" s="405">
        <f>COUNTIF('NFI Distributions'!C27:C49,"MRCS")</f>
        <v>1</v>
      </c>
    </row>
    <row r="7" spans="1:5" x14ac:dyDescent="0.25">
      <c r="D7" t="s">
        <v>1600</v>
      </c>
      <c r="E7" s="405">
        <f>COUNTIF('NFI Distributions'!C28:C50,"UNHCR/Shalom")</f>
        <v>4</v>
      </c>
    </row>
    <row r="8" spans="1:5" x14ac:dyDescent="0.25">
      <c r="A8" t="s">
        <v>467</v>
      </c>
    </row>
    <row r="9" spans="1:5" x14ac:dyDescent="0.25">
      <c r="A9" s="405" t="s">
        <v>508</v>
      </c>
      <c r="B9">
        <f>IF('IDP location Analysis'!$O$4="All",SUMIFS(CampList[[#All],[Total]],CampList[[#All],[Status]],"Open",CampList[[#All],[Accessibility]],"NGCA",CampList[[#All],[Type of Accommodation]],"Camp"),SUMIFS(CampList[[#All],[Total]],CampList[[#All],[Status]],"Open",CampList[[#All],[Accessibility]],"NGCA",CampList[[#All],[Type of Accommodation]],"Camp",CampList[[#All],[State]],'IDP location Analysis'!$O$4))</f>
        <v>37634</v>
      </c>
      <c r="C9" s="684"/>
    </row>
    <row r="10" spans="1:5" x14ac:dyDescent="0.25">
      <c r="A10" s="405" t="s">
        <v>1588</v>
      </c>
      <c r="B10">
        <f>IF('IDP location Analysis'!$O$4="All",SUMIFS(CampList[[#All],[Total]],CampList[[#All],[Status]],"Open",CampList[[#All],[Accessibility]],"NGCA",CampList[[#All],[Type of Accommodation]],"Host Families"),SUMIFS(CampList[[#All],[Total]],CampList[[#All],[Status]],"Open",CampList[[#All],[Accessibility]],"NGCA",CampList[[#All],[Type of Accommodation]],"Host Families",CampList[[#All],[State]],'IDP location Analysis'!$O$4))</f>
        <v>392</v>
      </c>
      <c r="C10" s="684"/>
    </row>
    <row r="11" spans="1:5" x14ac:dyDescent="0.25">
      <c r="A11" s="405" t="s">
        <v>853</v>
      </c>
      <c r="B11">
        <f>IF('IDP location Analysis'!$O$4="All",SUMIFS(CampList[[#All],[Total]],CampList[[#All],[Status]],"Open",CampList[[#All],[Accessibility]],"NGCA",CampList[[#All],[Type of Accommodation]],"Boarding School"),SUMIFS(CampList[[#All],[Total]],CampList[[#All],[Status]],"Open",CampList[[#All],[Accessibility]],"NGCA",CampList[[#All],[Type of Accommodation]],"Boarding School",CampList[[#All],[State]],'IDP location Analysis'!$O$4))</f>
        <v>872</v>
      </c>
      <c r="C11" s="684"/>
    </row>
    <row r="12" spans="1:5" x14ac:dyDescent="0.25">
      <c r="A12" s="405" t="s">
        <v>1574</v>
      </c>
      <c r="B12">
        <f>IF('IDP location Analysis'!$O$4="All",SUMIFS(CampList[[#All],[Total]],CampList[[#All],[Status]],"Open",CampList[[#All],[Accessibility]],"NGCA",CampList[[#All],[Type of Accommodation]],"Camp like setting"),SUMIFS(CampList[[#All],[Total]],CampList[[#All],[Status]],"Open",CampList[[#All],[Accessibility]],"NGCA",CampList[[#All],[Type of Accommodation]],"Camp like setting",CampList[[#All],[State]],'IDP location Analysis'!$O$4))</f>
        <v>0</v>
      </c>
      <c r="C12" s="684"/>
    </row>
    <row r="14" spans="1:5" x14ac:dyDescent="0.25">
      <c r="A14" t="s">
        <v>1589</v>
      </c>
    </row>
    <row r="15" spans="1:5" x14ac:dyDescent="0.25">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89267</v>
      </c>
    </row>
    <row r="16" spans="1:5" x14ac:dyDescent="0.25">
      <c r="A16" t="s">
        <v>1179</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9408</v>
      </c>
    </row>
    <row r="17" spans="1:5" s="405" customFormat="1" x14ac:dyDescent="0.25">
      <c r="D17"/>
      <c r="E17"/>
    </row>
    <row r="18" spans="1:5" x14ac:dyDescent="0.25">
      <c r="A18" t="s">
        <v>1590</v>
      </c>
      <c r="D18" s="405"/>
      <c r="E18" s="405"/>
    </row>
    <row r="19" spans="1:5" x14ac:dyDescent="0.25">
      <c r="A19" t="s">
        <v>467</v>
      </c>
      <c r="B19">
        <f>IF('IDP location Analysis'!$O$4="All",SUMIFS(CampList[[#All],[Total]],CampList[[#All],[Status]],"Open",CampList[[#All],[Accessibility]],"NGCA"),SUMIFS(CampList[[#All],[Total]],CampList[[#All],[Status]],"Open",CampList[[#All],[Accessibility]],"NGCA",CampList[[#All],[State]],'IDP location Analysis'!$O$4))</f>
        <v>38898</v>
      </c>
    </row>
    <row r="20" spans="1:5" x14ac:dyDescent="0.25">
      <c r="A20" t="s">
        <v>465</v>
      </c>
      <c r="B20">
        <f>IF('IDP location Analysis'!$O$4="All",SUMIFS(CampList[[#All],[Total]],CampList[[#All],[Status]],"Open",CampList[[#All],[Accessibility]],"GCA"),SUMIFS(CampList[[#All],[Total]],CampList[[#All],[Status]],"Open",CampList[[#All],[Accessibility]],"GCA",CampList[[#All],[State]],'IDP location Analysis'!$O$4))</f>
        <v>59777</v>
      </c>
    </row>
    <row r="22" spans="1:5" x14ac:dyDescent="0.25">
      <c r="A22" t="s">
        <v>1591</v>
      </c>
    </row>
    <row r="23" spans="1:5" x14ac:dyDescent="0.25">
      <c r="A23" s="348" t="s">
        <v>1178</v>
      </c>
      <c r="B23" s="349" t="s">
        <v>1047</v>
      </c>
    </row>
    <row r="24" spans="1:5" x14ac:dyDescent="0.25">
      <c r="A24" s="350" t="s">
        <v>378</v>
      </c>
      <c r="B24" s="351"/>
    </row>
    <row r="25" spans="1:5" x14ac:dyDescent="0.25">
      <c r="A25" s="352" t="s">
        <v>5</v>
      </c>
      <c r="B25" s="353">
        <f>COUNTIFS(CampList[[#All],[Status]],"open",CampList[[#All],[Township]],"Bhamo")</f>
        <v>11</v>
      </c>
    </row>
    <row r="26" spans="1:5" x14ac:dyDescent="0.25">
      <c r="A26" s="352" t="s">
        <v>27</v>
      </c>
      <c r="B26" s="353">
        <f>COUNTIFS(CampList[[#All],[Status]],"open",CampList[[#All],[Township]],"Chipwi")</f>
        <v>5</v>
      </c>
    </row>
    <row r="27" spans="1:5" x14ac:dyDescent="0.25">
      <c r="A27" s="352" t="s">
        <v>481</v>
      </c>
      <c r="B27" s="353">
        <f>COUNTIFS(CampList[[#All],[Status]],"open",CampList[[#All],[Township]],"Hpakant")</f>
        <v>22</v>
      </c>
    </row>
    <row r="28" spans="1:5" x14ac:dyDescent="0.25">
      <c r="A28" s="352" t="s">
        <v>361</v>
      </c>
      <c r="B28" s="353">
        <f>COUNTIFS(CampList[[#All],[Status]],"open",CampList[[#All],[Township]],"Injangyang")</f>
        <v>0</v>
      </c>
    </row>
    <row r="29" spans="1:5" x14ac:dyDescent="0.25">
      <c r="A29" s="352" t="s">
        <v>144</v>
      </c>
      <c r="B29" s="353">
        <f>COUNTIFS(CampList[[#All],[Status]],"open",CampList[[#All],[Township]],"Khaunglanhpu")</f>
        <v>0</v>
      </c>
    </row>
    <row r="30" spans="1:5" x14ac:dyDescent="0.25">
      <c r="A30" s="352" t="s">
        <v>819</v>
      </c>
      <c r="B30" s="353">
        <f>COUNTIFS(CampList[[#All],[Status]],"open",CampList[[#All],[Township]],"Manchanbaw")</f>
        <v>0</v>
      </c>
    </row>
    <row r="31" spans="1:5" x14ac:dyDescent="0.25">
      <c r="A31" s="352" t="s">
        <v>151</v>
      </c>
      <c r="B31" s="353">
        <f>COUNTIFS(CampList[[#All],[Status]],"open",CampList[[#All],[Township]],"Mansi")</f>
        <v>11</v>
      </c>
    </row>
    <row r="32" spans="1:5" x14ac:dyDescent="0.25">
      <c r="A32" s="352" t="s">
        <v>173</v>
      </c>
      <c r="B32" s="353">
        <f>COUNTIFS(CampList[[#All],[Status]],"open",CampList[[#All],[Township]],"Mogaung")</f>
        <v>5</v>
      </c>
    </row>
    <row r="33" spans="1:2" x14ac:dyDescent="0.25">
      <c r="A33" s="352" t="s">
        <v>180</v>
      </c>
      <c r="B33" s="353">
        <f>COUNTIFS(CampList[[#All],[Status]],"open",CampList[[#All],[Township]],"Mohnyin")</f>
        <v>4</v>
      </c>
    </row>
    <row r="34" spans="1:2" x14ac:dyDescent="0.25">
      <c r="A34" s="352" t="s">
        <v>185</v>
      </c>
      <c r="B34" s="353">
        <f>COUNTIFS(CampList[[#All],[Status]],"open",CampList[[#All],[Township]],"Momauk")</f>
        <v>15</v>
      </c>
    </row>
    <row r="35" spans="1:2" x14ac:dyDescent="0.25">
      <c r="A35" s="352" t="s">
        <v>237</v>
      </c>
      <c r="B35" s="353">
        <f>COUNTIFS(CampList[[#All],[Status]],"open",CampList[[#All],[Township]],"Myitkyina")</f>
        <v>22</v>
      </c>
    </row>
    <row r="36" spans="1:2" x14ac:dyDescent="0.25">
      <c r="A36" s="352" t="s">
        <v>299</v>
      </c>
      <c r="B36" s="353">
        <f>COUNTIFS(CampList[[#All],[Status]],"open",CampList[[#All],[Township]],"Puta-O")</f>
        <v>3</v>
      </c>
    </row>
    <row r="37" spans="1:2" x14ac:dyDescent="0.25">
      <c r="A37" s="352" t="s">
        <v>301</v>
      </c>
      <c r="B37" s="353">
        <f>COUNTIFS(CampList[[#All],[Status]],"open",CampList[[#All],[Township]],"Shwegu")</f>
        <v>3</v>
      </c>
    </row>
    <row r="38" spans="1:2" x14ac:dyDescent="0.25">
      <c r="A38" s="352" t="s">
        <v>748</v>
      </c>
      <c r="B38" s="353">
        <f>COUNTIFS(CampList[[#All],[Status]],"open",CampList[[#All],[Township]],"Sumprabum")</f>
        <v>3</v>
      </c>
    </row>
    <row r="39" spans="1:2" x14ac:dyDescent="0.25">
      <c r="A39" s="352" t="s">
        <v>1165</v>
      </c>
      <c r="B39" s="353">
        <f>COUNTIFS(CampList[[#All],[Status]],"open",CampList[[#All],[Township]],"Tanai")</f>
        <v>4</v>
      </c>
    </row>
    <row r="40" spans="1:2" x14ac:dyDescent="0.25">
      <c r="A40" s="352" t="s">
        <v>309</v>
      </c>
      <c r="B40" s="353">
        <f>COUNTIFS(CampList[[#All],[Status]],"open",CampList[[#All],[Township]],"Waingmaw")</f>
        <v>23</v>
      </c>
    </row>
    <row r="41" spans="1:2" x14ac:dyDescent="0.25">
      <c r="A41" s="354" t="s">
        <v>781</v>
      </c>
      <c r="B41" s="355">
        <f>SUM(B25:B40)</f>
        <v>131</v>
      </c>
    </row>
    <row r="42" spans="1:2" x14ac:dyDescent="0.25">
      <c r="A42" s="350" t="s">
        <v>1179</v>
      </c>
      <c r="B42" s="351"/>
    </row>
    <row r="43" spans="1:2" x14ac:dyDescent="0.25">
      <c r="A43" s="356" t="s">
        <v>720</v>
      </c>
      <c r="B43" s="353">
        <f>COUNTIFS(CampList[[#All],[Status]],"open",CampList[[#All],[Township]],"Hseni")</f>
        <v>2</v>
      </c>
    </row>
    <row r="44" spans="1:2" x14ac:dyDescent="0.25">
      <c r="A44" s="356" t="s">
        <v>146</v>
      </c>
      <c r="B44" s="353">
        <f>COUNTIFS(CampList[[#All],[Status]],"open",CampList[[#All],[Township]],"Kutkai")</f>
        <v>14</v>
      </c>
    </row>
    <row r="45" spans="1:2" x14ac:dyDescent="0.25">
      <c r="A45" s="356" t="s">
        <v>166</v>
      </c>
      <c r="B45" s="353">
        <f>COUNTIFS(CampList[[#All],[Status]],"open",CampList[[#All],[Township]],"Manton")</f>
        <v>3</v>
      </c>
    </row>
    <row r="46" spans="1:2" x14ac:dyDescent="0.25">
      <c r="A46" s="352" t="s">
        <v>230</v>
      </c>
      <c r="B46" s="353">
        <f>COUNTIFS(CampList[[#All],[Status]],"open",CampList[[#All],[Township]],"Muse")</f>
        <v>4</v>
      </c>
    </row>
    <row r="47" spans="1:2" x14ac:dyDescent="0.25">
      <c r="A47" s="352" t="s">
        <v>288</v>
      </c>
      <c r="B47" s="353">
        <f>COUNTIFS(CampList[[#All],[Status]],"open",CampList[[#All],[Township]],"Namhkan")</f>
        <v>6</v>
      </c>
    </row>
    <row r="48" spans="1:2" x14ac:dyDescent="0.25">
      <c r="A48" s="352" t="s">
        <v>1230</v>
      </c>
      <c r="B48" s="353">
        <f>COUNTIFS(CampList[[#All],[Status]],"open",CampList[[#All],[Township]],"Hsipaw")</f>
        <v>1</v>
      </c>
    </row>
    <row r="49" spans="1:2" x14ac:dyDescent="0.25">
      <c r="A49" s="352" t="s">
        <v>297</v>
      </c>
      <c r="B49" s="353">
        <f>COUNTIFS(CampList[[#All],[Status]],"open",CampList[[#All],[Township]],"Namtu")</f>
        <v>4</v>
      </c>
    </row>
    <row r="50" spans="1:2" x14ac:dyDescent="0.25">
      <c r="A50" s="357" t="s">
        <v>1180</v>
      </c>
      <c r="B50" s="355">
        <f>SUM(B43:B49)</f>
        <v>34</v>
      </c>
    </row>
    <row r="51" spans="1:2" x14ac:dyDescent="0.25">
      <c r="A51" s="348" t="s">
        <v>411</v>
      </c>
      <c r="B51" s="355">
        <f>SUM(B50+B41)</f>
        <v>165</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68"/>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55" t="s">
        <v>458</v>
      </c>
      <c r="B1" s="405" t="s">
        <v>460</v>
      </c>
    </row>
    <row r="3" spans="1:7" x14ac:dyDescent="0.25">
      <c r="A3" s="155" t="s">
        <v>508</v>
      </c>
      <c r="B3" s="155" t="s">
        <v>952</v>
      </c>
      <c r="C3" s="155" t="s">
        <v>1</v>
      </c>
      <c r="D3" s="155" t="s">
        <v>457</v>
      </c>
      <c r="E3" s="155" t="s">
        <v>953</v>
      </c>
      <c r="F3" s="405" t="s">
        <v>954</v>
      </c>
      <c r="G3" s="405" t="s">
        <v>790</v>
      </c>
    </row>
    <row r="4" spans="1:7" x14ac:dyDescent="0.25">
      <c r="A4" s="405" t="s">
        <v>120</v>
      </c>
      <c r="B4" s="405" t="s">
        <v>119</v>
      </c>
      <c r="C4" s="405">
        <v>96.361609999999999</v>
      </c>
      <c r="D4" s="405" t="s">
        <v>465</v>
      </c>
      <c r="E4" s="405" t="s">
        <v>943</v>
      </c>
      <c r="F4" s="149">
        <v>70</v>
      </c>
      <c r="G4" s="149">
        <v>350</v>
      </c>
    </row>
    <row r="5" spans="1:7" x14ac:dyDescent="0.25">
      <c r="A5" s="405" t="s">
        <v>6</v>
      </c>
      <c r="B5" s="405" t="s">
        <v>4</v>
      </c>
      <c r="C5" s="405">
        <v>97.238829999999993</v>
      </c>
      <c r="D5" s="405" t="s">
        <v>465</v>
      </c>
      <c r="E5" s="405" t="s">
        <v>942</v>
      </c>
      <c r="F5" s="149">
        <v>257</v>
      </c>
      <c r="G5" s="149">
        <v>1266</v>
      </c>
    </row>
    <row r="6" spans="1:7" x14ac:dyDescent="0.25">
      <c r="A6" s="405" t="s">
        <v>41</v>
      </c>
      <c r="B6" s="405" t="s">
        <v>40</v>
      </c>
      <c r="C6" s="405">
        <v>96.345569999999995</v>
      </c>
      <c r="D6" s="405" t="s">
        <v>465</v>
      </c>
      <c r="E6" s="405" t="s">
        <v>462</v>
      </c>
      <c r="F6" s="149">
        <v>65</v>
      </c>
      <c r="G6" s="149">
        <v>350</v>
      </c>
    </row>
    <row r="7" spans="1:7" x14ac:dyDescent="0.25">
      <c r="A7" s="405" t="s">
        <v>43</v>
      </c>
      <c r="B7" s="405" t="s">
        <v>42</v>
      </c>
      <c r="C7" s="405">
        <v>96.317350000000005</v>
      </c>
      <c r="D7" s="405" t="s">
        <v>465</v>
      </c>
      <c r="E7" s="405" t="s">
        <v>462</v>
      </c>
      <c r="F7" s="149">
        <v>14</v>
      </c>
      <c r="G7" s="149">
        <v>81</v>
      </c>
    </row>
    <row r="8" spans="1:7" x14ac:dyDescent="0.25">
      <c r="A8" s="405" t="s">
        <v>466</v>
      </c>
      <c r="B8" s="405" t="s">
        <v>375</v>
      </c>
      <c r="C8" s="405">
        <v>97.252650000000003</v>
      </c>
      <c r="D8" s="405" t="s">
        <v>465</v>
      </c>
      <c r="E8" s="405" t="s">
        <v>424</v>
      </c>
      <c r="F8" s="149">
        <v>12</v>
      </c>
      <c r="G8" s="149">
        <v>53</v>
      </c>
    </row>
    <row r="9" spans="1:7" x14ac:dyDescent="0.25">
      <c r="A9" s="405" t="s">
        <v>52</v>
      </c>
      <c r="B9" s="405" t="s">
        <v>51</v>
      </c>
      <c r="C9" s="405">
        <v>96.346469999999997</v>
      </c>
      <c r="D9" s="405" t="s">
        <v>465</v>
      </c>
      <c r="E9" s="405" t="s">
        <v>424</v>
      </c>
      <c r="F9" s="149">
        <v>37</v>
      </c>
      <c r="G9" s="149">
        <v>228</v>
      </c>
    </row>
    <row r="10" spans="1:7" x14ac:dyDescent="0.25">
      <c r="A10" s="405" t="s">
        <v>333</v>
      </c>
      <c r="B10" s="405" t="s">
        <v>332</v>
      </c>
      <c r="C10" s="405">
        <v>97.915833000000006</v>
      </c>
      <c r="D10" s="405" t="s">
        <v>467</v>
      </c>
      <c r="E10" s="405" t="s">
        <v>943</v>
      </c>
      <c r="F10" s="149">
        <v>132</v>
      </c>
      <c r="G10" s="149">
        <v>522</v>
      </c>
    </row>
    <row r="11" spans="1:7" x14ac:dyDescent="0.25">
      <c r="A11" s="405" t="s">
        <v>188</v>
      </c>
      <c r="B11" s="405" t="s">
        <v>187</v>
      </c>
      <c r="C11" s="405">
        <v>97.609832999999995</v>
      </c>
      <c r="D11" s="405" t="s">
        <v>467</v>
      </c>
      <c r="E11" s="405" t="s">
        <v>942</v>
      </c>
      <c r="F11" s="149">
        <v>386</v>
      </c>
      <c r="G11" s="149">
        <v>1902</v>
      </c>
    </row>
    <row r="12" spans="1:7" x14ac:dyDescent="0.25">
      <c r="A12" s="405" t="s">
        <v>72</v>
      </c>
      <c r="B12" s="405" t="s">
        <v>71</v>
      </c>
      <c r="C12" s="405">
        <v>96.283377000000002</v>
      </c>
      <c r="D12" s="405" t="s">
        <v>465</v>
      </c>
      <c r="E12" s="405" t="s">
        <v>462</v>
      </c>
      <c r="F12" s="149">
        <v>5</v>
      </c>
      <c r="G12" s="149">
        <v>26</v>
      </c>
    </row>
    <row r="13" spans="1:7" x14ac:dyDescent="0.25">
      <c r="A13" s="405" t="s">
        <v>28</v>
      </c>
      <c r="B13" s="405" t="s">
        <v>30</v>
      </c>
      <c r="C13" s="405">
        <v>98.131550000000004</v>
      </c>
      <c r="D13" s="405" t="s">
        <v>465</v>
      </c>
      <c r="E13" s="405" t="s">
        <v>462</v>
      </c>
      <c r="F13" s="149">
        <v>108</v>
      </c>
      <c r="G13" s="149">
        <v>516</v>
      </c>
    </row>
    <row r="14" spans="1:7" x14ac:dyDescent="0.25">
      <c r="A14" s="405" t="s">
        <v>76</v>
      </c>
      <c r="B14" s="405" t="s">
        <v>75</v>
      </c>
      <c r="C14" s="405">
        <v>96.35257</v>
      </c>
      <c r="D14" s="405" t="s">
        <v>465</v>
      </c>
      <c r="E14" s="405" t="s">
        <v>462</v>
      </c>
      <c r="F14" s="149">
        <v>70</v>
      </c>
      <c r="G14" s="149">
        <v>376</v>
      </c>
    </row>
    <row r="15" spans="1:7" x14ac:dyDescent="0.25">
      <c r="A15" s="405" t="s">
        <v>192</v>
      </c>
      <c r="B15" s="405" t="s">
        <v>191</v>
      </c>
      <c r="C15" s="405">
        <v>97.537099999999995</v>
      </c>
      <c r="D15" s="405" t="s">
        <v>467</v>
      </c>
      <c r="E15" s="405" t="s">
        <v>943</v>
      </c>
      <c r="F15" s="149">
        <v>100</v>
      </c>
      <c r="G15" s="149">
        <v>457</v>
      </c>
    </row>
    <row r="16" spans="1:7" x14ac:dyDescent="0.25">
      <c r="A16" s="405" t="s">
        <v>312</v>
      </c>
      <c r="B16" s="405" t="s">
        <v>311</v>
      </c>
      <c r="C16" s="405">
        <v>97.404195925926004</v>
      </c>
      <c r="D16" s="405" t="s">
        <v>465</v>
      </c>
      <c r="E16" s="405" t="s">
        <v>462</v>
      </c>
      <c r="F16" s="149">
        <v>103</v>
      </c>
      <c r="G16" s="149">
        <v>503</v>
      </c>
    </row>
    <row r="17" spans="1:7" x14ac:dyDescent="0.25">
      <c r="A17" s="405" t="s">
        <v>335</v>
      </c>
      <c r="B17" s="405" t="s">
        <v>334</v>
      </c>
      <c r="C17" s="405">
        <v>97.807182999999995</v>
      </c>
      <c r="D17" s="405" t="s">
        <v>467</v>
      </c>
      <c r="E17" s="405" t="s">
        <v>424</v>
      </c>
      <c r="F17" s="149">
        <v>149</v>
      </c>
      <c r="G17" s="149">
        <v>908</v>
      </c>
    </row>
    <row r="18" spans="1:7" x14ac:dyDescent="0.25">
      <c r="A18" s="405" t="s">
        <v>88</v>
      </c>
      <c r="B18" s="405" t="s">
        <v>87</v>
      </c>
      <c r="C18" s="405">
        <v>96.705960000000005</v>
      </c>
      <c r="D18" s="405" t="s">
        <v>465</v>
      </c>
      <c r="E18" s="405" t="s">
        <v>424</v>
      </c>
      <c r="F18" s="149">
        <v>13</v>
      </c>
      <c r="G18" s="149">
        <v>46</v>
      </c>
    </row>
    <row r="19" spans="1:7" x14ac:dyDescent="0.25">
      <c r="A19" s="405" t="s">
        <v>44</v>
      </c>
      <c r="B19" s="405" t="s">
        <v>45</v>
      </c>
      <c r="C19" s="405">
        <v>96.316564</v>
      </c>
      <c r="D19" s="405" t="s">
        <v>465</v>
      </c>
      <c r="E19" s="405" t="s">
        <v>462</v>
      </c>
      <c r="F19" s="149">
        <v>4</v>
      </c>
      <c r="G19" s="149">
        <v>27</v>
      </c>
    </row>
    <row r="20" spans="1:7" x14ac:dyDescent="0.25">
      <c r="A20" s="405" t="s">
        <v>12</v>
      </c>
      <c r="B20" s="405" t="s">
        <v>11</v>
      </c>
      <c r="C20" s="405">
        <v>97.228835000000004</v>
      </c>
      <c r="D20" s="405" t="s">
        <v>465</v>
      </c>
      <c r="E20" s="405" t="s">
        <v>789</v>
      </c>
      <c r="F20" s="149">
        <v>197</v>
      </c>
      <c r="G20" s="149">
        <v>957</v>
      </c>
    </row>
    <row r="21" spans="1:7" x14ac:dyDescent="0.25">
      <c r="A21" s="405" t="s">
        <v>12</v>
      </c>
      <c r="B21" s="405" t="s">
        <v>388</v>
      </c>
      <c r="C21" s="405">
        <v>97.298055000000005</v>
      </c>
      <c r="D21" s="405" t="s">
        <v>465</v>
      </c>
      <c r="E21" s="405" t="s">
        <v>789</v>
      </c>
      <c r="F21" s="149">
        <v>73</v>
      </c>
      <c r="G21" s="149">
        <v>274</v>
      </c>
    </row>
    <row r="22" spans="1:7" x14ac:dyDescent="0.25">
      <c r="A22" s="405" t="s">
        <v>12</v>
      </c>
      <c r="B22" s="405" t="s">
        <v>389</v>
      </c>
      <c r="C22" s="405">
        <v>97.348405</v>
      </c>
      <c r="D22" s="405" t="s">
        <v>465</v>
      </c>
      <c r="E22" s="405" t="s">
        <v>789</v>
      </c>
      <c r="F22" s="149">
        <v>226</v>
      </c>
      <c r="G22" s="149">
        <v>1048</v>
      </c>
    </row>
    <row r="23" spans="1:7" x14ac:dyDescent="0.25">
      <c r="A23" s="405" t="s">
        <v>231</v>
      </c>
      <c r="B23" s="405" t="s">
        <v>386</v>
      </c>
      <c r="C23" s="405">
        <v>98.115809999999996</v>
      </c>
      <c r="D23" s="405" t="s">
        <v>465</v>
      </c>
      <c r="E23" s="405" t="s">
        <v>789</v>
      </c>
      <c r="F23" s="149">
        <v>32</v>
      </c>
      <c r="G23" s="149">
        <v>187</v>
      </c>
    </row>
    <row r="24" spans="1:7" x14ac:dyDescent="0.25">
      <c r="A24" s="405" t="s">
        <v>919</v>
      </c>
      <c r="B24" s="405" t="s">
        <v>920</v>
      </c>
      <c r="C24" s="405">
        <v>96.312790000000007</v>
      </c>
      <c r="D24" s="405" t="s">
        <v>465</v>
      </c>
      <c r="E24" s="405" t="s">
        <v>424</v>
      </c>
      <c r="F24" s="149">
        <v>103</v>
      </c>
      <c r="G24" s="149">
        <v>498</v>
      </c>
    </row>
    <row r="25" spans="1:7" x14ac:dyDescent="0.25">
      <c r="A25" s="405" t="s">
        <v>362</v>
      </c>
      <c r="B25" s="405" t="s">
        <v>29</v>
      </c>
      <c r="C25" s="405">
        <v>98.475719999999995</v>
      </c>
      <c r="D25" s="405" t="s">
        <v>467</v>
      </c>
      <c r="E25" s="405" t="s">
        <v>424</v>
      </c>
      <c r="F25" s="149">
        <v>158</v>
      </c>
      <c r="G25" s="149">
        <v>981</v>
      </c>
    </row>
    <row r="26" spans="1:7" x14ac:dyDescent="0.25">
      <c r="A26" s="405" t="s">
        <v>194</v>
      </c>
      <c r="B26" s="405" t="s">
        <v>193</v>
      </c>
      <c r="C26" s="405">
        <v>97.573126000000002</v>
      </c>
      <c r="D26" s="405" t="s">
        <v>467</v>
      </c>
      <c r="E26" s="405" t="s">
        <v>943</v>
      </c>
      <c r="F26" s="149">
        <v>717</v>
      </c>
      <c r="G26" s="149">
        <v>3615</v>
      </c>
    </row>
    <row r="27" spans="1:7" x14ac:dyDescent="0.25">
      <c r="A27" s="405" t="s">
        <v>14</v>
      </c>
      <c r="B27" s="405" t="s">
        <v>13</v>
      </c>
      <c r="C27" s="405">
        <v>97.236919999999998</v>
      </c>
      <c r="D27" s="405" t="s">
        <v>465</v>
      </c>
      <c r="E27" s="405" t="s">
        <v>424</v>
      </c>
      <c r="F27" s="149">
        <v>39</v>
      </c>
      <c r="G27" s="149">
        <v>225</v>
      </c>
    </row>
    <row r="28" spans="1:7" x14ac:dyDescent="0.25">
      <c r="A28" s="405" t="s">
        <v>753</v>
      </c>
      <c r="B28" s="405" t="s">
        <v>754</v>
      </c>
      <c r="C28" s="405">
        <v>97.541793999999996</v>
      </c>
      <c r="D28" s="405" t="s">
        <v>467</v>
      </c>
      <c r="E28" s="405" t="s">
        <v>789</v>
      </c>
      <c r="F28" s="149"/>
      <c r="G28" s="149">
        <v>872</v>
      </c>
    </row>
    <row r="29" spans="1:7" x14ac:dyDescent="0.25">
      <c r="A29" s="405" t="s">
        <v>896</v>
      </c>
      <c r="B29" s="405" t="s">
        <v>897</v>
      </c>
      <c r="C29" s="405">
        <v>97.561105999999995</v>
      </c>
      <c r="D29" s="405" t="s">
        <v>465</v>
      </c>
      <c r="E29" s="405" t="s">
        <v>789</v>
      </c>
      <c r="F29" s="149">
        <v>10</v>
      </c>
      <c r="G29" s="149">
        <v>56</v>
      </c>
    </row>
    <row r="30" spans="1:7" x14ac:dyDescent="0.25">
      <c r="A30" s="405" t="s">
        <v>252</v>
      </c>
      <c r="B30" s="405" t="s">
        <v>251</v>
      </c>
      <c r="C30" s="405">
        <v>97.373361000000003</v>
      </c>
      <c r="D30" s="405" t="s">
        <v>465</v>
      </c>
      <c r="E30" s="405" t="s">
        <v>424</v>
      </c>
      <c r="F30" s="149">
        <v>199</v>
      </c>
      <c r="G30" s="149">
        <v>1114</v>
      </c>
    </row>
    <row r="31" spans="1:7" x14ac:dyDescent="0.25">
      <c r="A31" s="405" t="s">
        <v>254</v>
      </c>
      <c r="B31" s="405" t="s">
        <v>253</v>
      </c>
      <c r="C31" s="405">
        <v>97.379594999999995</v>
      </c>
      <c r="D31" s="405" t="s">
        <v>465</v>
      </c>
      <c r="E31" s="405" t="s">
        <v>943</v>
      </c>
      <c r="F31" s="149">
        <v>88</v>
      </c>
      <c r="G31" s="149">
        <v>427</v>
      </c>
    </row>
    <row r="32" spans="1:7" x14ac:dyDescent="0.25">
      <c r="A32" s="405" t="s">
        <v>196</v>
      </c>
      <c r="B32" s="405" t="s">
        <v>195</v>
      </c>
      <c r="C32" s="405">
        <v>97.568331999999998</v>
      </c>
      <c r="D32" s="405" t="s">
        <v>467</v>
      </c>
      <c r="E32" s="405" t="s">
        <v>943</v>
      </c>
      <c r="F32" s="149">
        <v>1518</v>
      </c>
      <c r="G32" s="149">
        <v>8513</v>
      </c>
    </row>
    <row r="33" spans="1:7" x14ac:dyDescent="0.25">
      <c r="A33" s="405" t="s">
        <v>475</v>
      </c>
      <c r="B33" s="405" t="s">
        <v>476</v>
      </c>
      <c r="C33" s="405">
        <v>97.343406999999999</v>
      </c>
      <c r="D33" s="405" t="s">
        <v>465</v>
      </c>
      <c r="E33" s="405" t="s">
        <v>789</v>
      </c>
      <c r="F33" s="149">
        <v>3</v>
      </c>
      <c r="G33" s="149">
        <v>18</v>
      </c>
    </row>
    <row r="34" spans="1:7" x14ac:dyDescent="0.25">
      <c r="A34" s="405" t="s">
        <v>367</v>
      </c>
      <c r="B34" s="405" t="s">
        <v>381</v>
      </c>
      <c r="C34" s="405">
        <v>97.926813999999993</v>
      </c>
      <c r="D34" s="405" t="s">
        <v>465</v>
      </c>
      <c r="E34" s="405" t="s">
        <v>424</v>
      </c>
      <c r="F34" s="149">
        <v>58</v>
      </c>
      <c r="G34" s="149">
        <v>277</v>
      </c>
    </row>
    <row r="35" spans="1:7" x14ac:dyDescent="0.25">
      <c r="A35" s="405" t="s">
        <v>368</v>
      </c>
      <c r="B35" s="405" t="s">
        <v>382</v>
      </c>
      <c r="C35" s="405">
        <v>97.947360000000003</v>
      </c>
      <c r="D35" s="405" t="s">
        <v>465</v>
      </c>
      <c r="E35" s="405" t="s">
        <v>1066</v>
      </c>
      <c r="F35" s="149">
        <v>29</v>
      </c>
      <c r="G35" s="149">
        <v>138</v>
      </c>
    </row>
    <row r="36" spans="1:7" x14ac:dyDescent="0.25">
      <c r="A36" s="405" t="s">
        <v>256</v>
      </c>
      <c r="B36" s="405" t="s">
        <v>255</v>
      </c>
      <c r="C36" s="405">
        <v>97.405202777777802</v>
      </c>
      <c r="D36" s="405" t="s">
        <v>465</v>
      </c>
      <c r="E36" s="405" t="s">
        <v>424</v>
      </c>
      <c r="F36" s="149">
        <v>43</v>
      </c>
      <c r="G36" s="149">
        <v>196</v>
      </c>
    </row>
    <row r="37" spans="1:7" x14ac:dyDescent="0.25">
      <c r="A37" s="405" t="s">
        <v>174</v>
      </c>
      <c r="B37" s="405" t="s">
        <v>172</v>
      </c>
      <c r="C37" s="405">
        <v>96.922619999999995</v>
      </c>
      <c r="D37" s="405" t="s">
        <v>465</v>
      </c>
      <c r="E37" s="405" t="s">
        <v>424</v>
      </c>
      <c r="F37" s="149">
        <v>13</v>
      </c>
      <c r="G37" s="149">
        <v>66</v>
      </c>
    </row>
    <row r="38" spans="1:7" x14ac:dyDescent="0.25">
      <c r="A38" s="405" t="s">
        <v>198</v>
      </c>
      <c r="B38" s="405" t="s">
        <v>197</v>
      </c>
      <c r="C38" s="405">
        <v>97.625617000000005</v>
      </c>
      <c r="D38" s="405" t="s">
        <v>467</v>
      </c>
      <c r="E38" s="405" t="s">
        <v>942</v>
      </c>
      <c r="F38" s="149">
        <v>548</v>
      </c>
      <c r="G38" s="149">
        <v>2482</v>
      </c>
    </row>
    <row r="39" spans="1:7" x14ac:dyDescent="0.25">
      <c r="A39" s="405" t="s">
        <v>303</v>
      </c>
      <c r="B39" s="405" t="s">
        <v>302</v>
      </c>
      <c r="C39" s="405" t="s">
        <v>789</v>
      </c>
      <c r="D39" s="405" t="s">
        <v>465</v>
      </c>
      <c r="E39" s="405" t="s">
        <v>789</v>
      </c>
      <c r="F39" s="149">
        <v>375</v>
      </c>
      <c r="G39" s="149">
        <v>1691</v>
      </c>
    </row>
    <row r="40" spans="1:7" x14ac:dyDescent="0.25">
      <c r="A40" s="405" t="s">
        <v>240</v>
      </c>
      <c r="B40" s="405" t="s">
        <v>239</v>
      </c>
      <c r="C40" s="405">
        <v>97.409035000000003</v>
      </c>
      <c r="D40" s="405" t="s">
        <v>465</v>
      </c>
      <c r="E40" s="405" t="s">
        <v>424</v>
      </c>
      <c r="F40" s="149">
        <v>105</v>
      </c>
      <c r="G40" s="149">
        <v>577</v>
      </c>
    </row>
    <row r="41" spans="1:7" x14ac:dyDescent="0.25">
      <c r="A41" s="405" t="s">
        <v>284</v>
      </c>
      <c r="B41" s="405" t="s">
        <v>283</v>
      </c>
      <c r="C41" s="405">
        <v>97.403402307692303</v>
      </c>
      <c r="D41" s="405" t="s">
        <v>465</v>
      </c>
      <c r="E41" s="405" t="s">
        <v>424</v>
      </c>
      <c r="F41" s="149">
        <v>139</v>
      </c>
      <c r="G41" s="149">
        <v>707</v>
      </c>
    </row>
    <row r="42" spans="1:7" x14ac:dyDescent="0.25">
      <c r="A42" s="405" t="s">
        <v>363</v>
      </c>
      <c r="B42" s="405" t="s">
        <v>376</v>
      </c>
      <c r="C42" s="405">
        <v>98.129990000000006</v>
      </c>
      <c r="D42" s="405" t="s">
        <v>465</v>
      </c>
      <c r="E42" s="405" t="s">
        <v>462</v>
      </c>
      <c r="F42" s="149">
        <v>144</v>
      </c>
      <c r="G42" s="149">
        <v>630</v>
      </c>
    </row>
    <row r="43" spans="1:7" x14ac:dyDescent="0.25">
      <c r="A43" s="405" t="s">
        <v>90</v>
      </c>
      <c r="B43" s="405" t="s">
        <v>89</v>
      </c>
      <c r="C43" s="405">
        <v>96.269199999999998</v>
      </c>
      <c r="D43" s="405" t="s">
        <v>465</v>
      </c>
      <c r="E43" s="405" t="s">
        <v>462</v>
      </c>
      <c r="F43" s="149">
        <v>19</v>
      </c>
      <c r="G43" s="149">
        <v>100</v>
      </c>
    </row>
    <row r="44" spans="1:7" x14ac:dyDescent="0.25">
      <c r="A44" s="405" t="s">
        <v>92</v>
      </c>
      <c r="B44" s="405" t="s">
        <v>91</v>
      </c>
      <c r="C44" s="405">
        <v>96.316400000000002</v>
      </c>
      <c r="D44" s="405" t="s">
        <v>465</v>
      </c>
      <c r="E44" s="405" t="s">
        <v>462</v>
      </c>
      <c r="F44" s="149">
        <v>12</v>
      </c>
      <c r="G44" s="149">
        <v>62</v>
      </c>
    </row>
    <row r="45" spans="1:7" x14ac:dyDescent="0.25">
      <c r="A45" s="405" t="s">
        <v>18</v>
      </c>
      <c r="B45" s="405" t="s">
        <v>17</v>
      </c>
      <c r="C45" s="405">
        <v>97.240183461538507</v>
      </c>
      <c r="D45" s="405" t="s">
        <v>465</v>
      </c>
      <c r="E45" s="405" t="s">
        <v>462</v>
      </c>
      <c r="F45" s="149">
        <v>129</v>
      </c>
      <c r="G45" s="149">
        <v>740</v>
      </c>
    </row>
    <row r="46" spans="1:7" x14ac:dyDescent="0.25">
      <c r="A46" s="405" t="s">
        <v>186</v>
      </c>
      <c r="B46" s="405" t="s">
        <v>184</v>
      </c>
      <c r="C46" s="405">
        <v>97.718582999999995</v>
      </c>
      <c r="D46" s="405" t="s">
        <v>465</v>
      </c>
      <c r="E46" s="405" t="s">
        <v>424</v>
      </c>
      <c r="F46" s="149">
        <v>40</v>
      </c>
      <c r="G46" s="149">
        <v>241</v>
      </c>
    </row>
    <row r="47" spans="1:7" x14ac:dyDescent="0.25">
      <c r="A47" s="405" t="s">
        <v>223</v>
      </c>
      <c r="B47" s="405" t="s">
        <v>222</v>
      </c>
      <c r="C47" s="405">
        <v>97.724566999999993</v>
      </c>
      <c r="D47" s="405" t="s">
        <v>465</v>
      </c>
      <c r="E47" s="405" t="s">
        <v>942</v>
      </c>
      <c r="F47" s="149">
        <v>129</v>
      </c>
      <c r="G47" s="149">
        <v>640</v>
      </c>
    </row>
    <row r="48" spans="1:7" x14ac:dyDescent="0.25">
      <c r="A48" s="405" t="s">
        <v>190</v>
      </c>
      <c r="B48" s="405" t="s">
        <v>189</v>
      </c>
      <c r="C48" s="405">
        <v>97.717133000000004</v>
      </c>
      <c r="D48" s="405" t="s">
        <v>465</v>
      </c>
      <c r="E48" s="405" t="s">
        <v>424</v>
      </c>
      <c r="F48" s="149">
        <v>199</v>
      </c>
      <c r="G48" s="149">
        <v>1105</v>
      </c>
    </row>
    <row r="49" spans="1:7" x14ac:dyDescent="0.25">
      <c r="A49" s="405" t="s">
        <v>319</v>
      </c>
      <c r="B49" s="405" t="s">
        <v>318</v>
      </c>
      <c r="C49" s="405">
        <v>97.451965000000001</v>
      </c>
      <c r="D49" s="405" t="s">
        <v>465</v>
      </c>
      <c r="E49" s="405" t="s">
        <v>424</v>
      </c>
      <c r="F49" s="149">
        <v>30</v>
      </c>
      <c r="G49" s="149">
        <v>165</v>
      </c>
    </row>
    <row r="50" spans="1:7" x14ac:dyDescent="0.25">
      <c r="A50" s="405" t="s">
        <v>321</v>
      </c>
      <c r="B50" s="405" t="s">
        <v>320</v>
      </c>
      <c r="C50" s="405">
        <v>97.715230000000005</v>
      </c>
      <c r="D50" s="405" t="s">
        <v>467</v>
      </c>
      <c r="E50" s="405" t="s">
        <v>943</v>
      </c>
      <c r="F50" s="149">
        <v>437</v>
      </c>
      <c r="G50" s="149">
        <v>1938</v>
      </c>
    </row>
    <row r="51" spans="1:7" x14ac:dyDescent="0.25">
      <c r="A51" s="405" t="s">
        <v>327</v>
      </c>
      <c r="B51" s="405" t="s">
        <v>326</v>
      </c>
      <c r="C51" s="405">
        <v>97.433419259259296</v>
      </c>
      <c r="D51" s="405" t="s">
        <v>465</v>
      </c>
      <c r="E51" s="405" t="s">
        <v>462</v>
      </c>
      <c r="F51" s="149">
        <v>333</v>
      </c>
      <c r="G51" s="149">
        <v>1800</v>
      </c>
    </row>
    <row r="52" spans="1:7" x14ac:dyDescent="0.25">
      <c r="A52" s="405" t="s">
        <v>329</v>
      </c>
      <c r="B52" s="405" t="s">
        <v>328</v>
      </c>
      <c r="C52" s="405">
        <v>97.437782499999997</v>
      </c>
      <c r="D52" s="405" t="s">
        <v>465</v>
      </c>
      <c r="E52" s="405" t="s">
        <v>943</v>
      </c>
      <c r="F52" s="149">
        <v>282</v>
      </c>
      <c r="G52" s="149">
        <v>1478</v>
      </c>
    </row>
    <row r="53" spans="1:7" x14ac:dyDescent="0.25">
      <c r="A53" s="405" t="s">
        <v>323</v>
      </c>
      <c r="B53" s="405" t="s">
        <v>322</v>
      </c>
      <c r="C53" s="405">
        <v>97.434855869565197</v>
      </c>
      <c r="D53" s="405" t="s">
        <v>465</v>
      </c>
      <c r="E53" s="405" t="s">
        <v>424</v>
      </c>
      <c r="F53" s="149">
        <v>499</v>
      </c>
      <c r="G53" s="149">
        <v>2543</v>
      </c>
    </row>
    <row r="54" spans="1:7" x14ac:dyDescent="0.25">
      <c r="A54" s="405" t="s">
        <v>325</v>
      </c>
      <c r="B54" s="405" t="s">
        <v>324</v>
      </c>
      <c r="C54" s="405">
        <v>97.426536944444507</v>
      </c>
      <c r="D54" s="405" t="s">
        <v>465</v>
      </c>
      <c r="E54" s="405" t="s">
        <v>424</v>
      </c>
      <c r="F54" s="149">
        <v>46</v>
      </c>
      <c r="G54" s="149">
        <v>193</v>
      </c>
    </row>
    <row r="55" spans="1:7" x14ac:dyDescent="0.25">
      <c r="A55" s="405" t="s">
        <v>813</v>
      </c>
      <c r="B55" s="405" t="s">
        <v>814</v>
      </c>
      <c r="C55" s="405">
        <v>97.225881000000001</v>
      </c>
      <c r="D55" s="405" t="s">
        <v>465</v>
      </c>
      <c r="E55" s="405" t="s">
        <v>424</v>
      </c>
      <c r="F55" s="149">
        <v>405</v>
      </c>
      <c r="G55" s="149">
        <v>1855</v>
      </c>
    </row>
    <row r="56" spans="1:7" x14ac:dyDescent="0.25">
      <c r="A56" s="405" t="s">
        <v>851</v>
      </c>
      <c r="B56" s="405" t="s">
        <v>850</v>
      </c>
      <c r="C56" s="405">
        <v>97.227057000000002</v>
      </c>
      <c r="D56" s="405" t="s">
        <v>465</v>
      </c>
      <c r="E56" s="405" t="s">
        <v>942</v>
      </c>
      <c r="F56" s="149">
        <v>173</v>
      </c>
      <c r="G56" s="149">
        <v>780</v>
      </c>
    </row>
    <row r="57" spans="1:7" x14ac:dyDescent="0.25">
      <c r="A57" s="405" t="s">
        <v>258</v>
      </c>
      <c r="B57" s="405" t="s">
        <v>257</v>
      </c>
      <c r="C57" s="405">
        <v>97.4113064583333</v>
      </c>
      <c r="D57" s="405" t="s">
        <v>465</v>
      </c>
      <c r="E57" s="405" t="s">
        <v>424</v>
      </c>
      <c r="F57" s="149">
        <v>75</v>
      </c>
      <c r="G57" s="149">
        <v>395</v>
      </c>
    </row>
    <row r="58" spans="1:7" x14ac:dyDescent="0.25">
      <c r="A58" s="405" t="s">
        <v>202</v>
      </c>
      <c r="B58" s="405" t="s">
        <v>201</v>
      </c>
      <c r="C58" s="405">
        <v>97.325019999999995</v>
      </c>
      <c r="D58" s="405" t="s">
        <v>465</v>
      </c>
      <c r="E58" s="405" t="s">
        <v>942</v>
      </c>
      <c r="F58" s="149">
        <v>265</v>
      </c>
      <c r="G58" s="149">
        <v>1181</v>
      </c>
    </row>
    <row r="59" spans="1:7" x14ac:dyDescent="0.25">
      <c r="A59" s="405" t="s">
        <v>260</v>
      </c>
      <c r="B59" s="405" t="s">
        <v>259</v>
      </c>
      <c r="C59" s="405">
        <v>97.418694000000002</v>
      </c>
      <c r="D59" s="405" t="s">
        <v>465</v>
      </c>
      <c r="E59" s="405" t="s">
        <v>424</v>
      </c>
      <c r="F59" s="149">
        <v>103</v>
      </c>
      <c r="G59" s="149">
        <v>581</v>
      </c>
    </row>
    <row r="60" spans="1:7" x14ac:dyDescent="0.25">
      <c r="A60" s="405" t="s">
        <v>160</v>
      </c>
      <c r="B60" s="405" t="s">
        <v>159</v>
      </c>
      <c r="C60" s="405">
        <v>97.589979999999997</v>
      </c>
      <c r="D60" s="405" t="s">
        <v>465</v>
      </c>
      <c r="E60" s="405" t="s">
        <v>424</v>
      </c>
      <c r="F60" s="149">
        <v>109</v>
      </c>
      <c r="G60" s="149">
        <v>579</v>
      </c>
    </row>
    <row r="61" spans="1:7" x14ac:dyDescent="0.25">
      <c r="A61" s="405" t="s">
        <v>946</v>
      </c>
      <c r="B61" s="405" t="s">
        <v>947</v>
      </c>
      <c r="C61" s="405">
        <v>97.590767</v>
      </c>
      <c r="D61" s="405" t="s">
        <v>465</v>
      </c>
      <c r="E61" s="405" t="s">
        <v>424</v>
      </c>
      <c r="F61" s="149">
        <v>115</v>
      </c>
      <c r="G61" s="149">
        <v>538</v>
      </c>
    </row>
    <row r="62" spans="1:7" x14ac:dyDescent="0.25">
      <c r="A62" s="405" t="s">
        <v>154</v>
      </c>
      <c r="B62" s="405" t="s">
        <v>153</v>
      </c>
      <c r="C62" s="405">
        <v>97.578490000000002</v>
      </c>
      <c r="D62" s="405" t="s">
        <v>465</v>
      </c>
      <c r="E62" s="405" t="s">
        <v>942</v>
      </c>
      <c r="F62" s="149">
        <v>441</v>
      </c>
      <c r="G62" s="149">
        <v>2241</v>
      </c>
    </row>
    <row r="63" spans="1:7" x14ac:dyDescent="0.25">
      <c r="A63" s="405" t="s">
        <v>915</v>
      </c>
      <c r="B63" s="405" t="s">
        <v>916</v>
      </c>
      <c r="C63" s="405">
        <v>97.578367</v>
      </c>
      <c r="D63" s="405" t="s">
        <v>465</v>
      </c>
      <c r="E63" s="405" t="s">
        <v>942</v>
      </c>
      <c r="F63" s="149">
        <v>143</v>
      </c>
      <c r="G63" s="149">
        <v>638</v>
      </c>
    </row>
    <row r="64" spans="1:7" x14ac:dyDescent="0.25">
      <c r="A64" s="405" t="s">
        <v>156</v>
      </c>
      <c r="B64" s="405" t="s">
        <v>155</v>
      </c>
      <c r="C64" s="405">
        <v>97.588291999999996</v>
      </c>
      <c r="D64" s="405" t="s">
        <v>465</v>
      </c>
      <c r="E64" s="405" t="s">
        <v>789</v>
      </c>
      <c r="F64" s="149">
        <v>175</v>
      </c>
      <c r="G64" s="149">
        <v>834</v>
      </c>
    </row>
    <row r="65" spans="1:7" x14ac:dyDescent="0.25">
      <c r="A65" s="405" t="s">
        <v>167</v>
      </c>
      <c r="B65" s="405" t="s">
        <v>165</v>
      </c>
      <c r="C65" s="405">
        <v>97.124403000000001</v>
      </c>
      <c r="D65" s="405" t="s">
        <v>465</v>
      </c>
      <c r="E65" s="405" t="s">
        <v>424</v>
      </c>
      <c r="F65" s="149">
        <v>33</v>
      </c>
      <c r="G65" s="149">
        <v>178</v>
      </c>
    </row>
    <row r="66" spans="1:7" x14ac:dyDescent="0.25">
      <c r="A66" s="405" t="s">
        <v>762</v>
      </c>
      <c r="B66" s="405" t="s">
        <v>763</v>
      </c>
      <c r="C66" s="405">
        <v>97.116680000000002</v>
      </c>
      <c r="D66" s="405" t="s">
        <v>465</v>
      </c>
      <c r="E66" s="405" t="s">
        <v>1066</v>
      </c>
      <c r="F66" s="149">
        <v>29</v>
      </c>
      <c r="G66" s="149">
        <v>168</v>
      </c>
    </row>
    <row r="67" spans="1:7" x14ac:dyDescent="0.25">
      <c r="A67" s="405" t="s">
        <v>152</v>
      </c>
      <c r="B67" s="405" t="s">
        <v>150</v>
      </c>
      <c r="C67" s="405">
        <v>97.291820000000001</v>
      </c>
      <c r="D67" s="405" t="s">
        <v>465</v>
      </c>
      <c r="E67" s="405" t="s">
        <v>424</v>
      </c>
      <c r="F67" s="149">
        <v>187</v>
      </c>
      <c r="G67" s="149">
        <v>838</v>
      </c>
    </row>
    <row r="68" spans="1:7" x14ac:dyDescent="0.25">
      <c r="A68" s="405" t="s">
        <v>262</v>
      </c>
      <c r="B68" s="405" t="s">
        <v>261</v>
      </c>
      <c r="C68" s="405">
        <v>97.2843958974359</v>
      </c>
      <c r="D68" s="405" t="s">
        <v>465</v>
      </c>
      <c r="E68" s="405" t="s">
        <v>462</v>
      </c>
      <c r="F68" s="149">
        <v>24</v>
      </c>
      <c r="G68" s="149">
        <v>97</v>
      </c>
    </row>
    <row r="69" spans="1:7" x14ac:dyDescent="0.25">
      <c r="A69" s="405" t="s">
        <v>264</v>
      </c>
      <c r="B69" s="405" t="s">
        <v>263</v>
      </c>
      <c r="C69" s="405">
        <v>97.290952037037002</v>
      </c>
      <c r="D69" s="405" t="s">
        <v>465</v>
      </c>
      <c r="E69" s="405" t="s">
        <v>462</v>
      </c>
      <c r="F69" s="149">
        <v>14</v>
      </c>
      <c r="G69" s="149">
        <v>75</v>
      </c>
    </row>
    <row r="70" spans="1:7" x14ac:dyDescent="0.25">
      <c r="A70" s="405" t="s">
        <v>100</v>
      </c>
      <c r="B70" s="405" t="s">
        <v>99</v>
      </c>
      <c r="C70" s="405">
        <v>96.319829999999996</v>
      </c>
      <c r="D70" s="405" t="s">
        <v>465</v>
      </c>
      <c r="E70" s="405" t="s">
        <v>462</v>
      </c>
      <c r="F70" s="149">
        <v>8</v>
      </c>
      <c r="G70" s="149">
        <v>15</v>
      </c>
    </row>
    <row r="71" spans="1:7" x14ac:dyDescent="0.25">
      <c r="A71" s="405" t="s">
        <v>366</v>
      </c>
      <c r="B71" s="405" t="s">
        <v>383</v>
      </c>
      <c r="C71" s="405">
        <v>97.793019999999999</v>
      </c>
      <c r="D71" s="405" t="s">
        <v>465</v>
      </c>
      <c r="E71" s="405" t="s">
        <v>424</v>
      </c>
      <c r="F71" s="149">
        <v>68</v>
      </c>
      <c r="G71" s="149">
        <v>310</v>
      </c>
    </row>
    <row r="72" spans="1:7" x14ac:dyDescent="0.25">
      <c r="A72" s="405" t="s">
        <v>209</v>
      </c>
      <c r="B72" s="405" t="s">
        <v>208</v>
      </c>
      <c r="C72" s="405">
        <v>97.344359999999995</v>
      </c>
      <c r="D72" s="405" t="s">
        <v>465</v>
      </c>
      <c r="E72" s="405" t="s">
        <v>424</v>
      </c>
      <c r="F72" s="149">
        <v>387</v>
      </c>
      <c r="G72" s="149">
        <v>1874</v>
      </c>
    </row>
    <row r="73" spans="1:7" x14ac:dyDescent="0.25">
      <c r="A73" s="405" t="s">
        <v>369</v>
      </c>
      <c r="B73" s="405" t="s">
        <v>147</v>
      </c>
      <c r="C73" s="405">
        <v>98.220614999999995</v>
      </c>
      <c r="D73" s="405" t="s">
        <v>465</v>
      </c>
      <c r="E73" s="405" t="s">
        <v>424</v>
      </c>
      <c r="F73" s="149">
        <v>46</v>
      </c>
      <c r="G73" s="149">
        <v>254</v>
      </c>
    </row>
    <row r="74" spans="1:7" x14ac:dyDescent="0.25">
      <c r="A74" s="405" t="s">
        <v>951</v>
      </c>
      <c r="B74" s="405" t="s">
        <v>950</v>
      </c>
      <c r="C74" s="405">
        <v>98.248999999999995</v>
      </c>
      <c r="D74" s="405" t="s">
        <v>465</v>
      </c>
      <c r="E74" s="405" t="s">
        <v>1066</v>
      </c>
      <c r="F74" s="149">
        <v>22</v>
      </c>
      <c r="G74" s="149">
        <v>105</v>
      </c>
    </row>
    <row r="75" spans="1:7" x14ac:dyDescent="0.25">
      <c r="A75" s="405" t="s">
        <v>907</v>
      </c>
      <c r="B75" s="405" t="s">
        <v>908</v>
      </c>
      <c r="C75" s="405">
        <v>97.909400000000005</v>
      </c>
      <c r="D75" s="405" t="s">
        <v>465</v>
      </c>
      <c r="E75" s="405" t="s">
        <v>424</v>
      </c>
      <c r="F75" s="149">
        <v>44</v>
      </c>
      <c r="G75" s="149">
        <v>190</v>
      </c>
    </row>
    <row r="76" spans="1:7" x14ac:dyDescent="0.25">
      <c r="A76" s="405" t="s">
        <v>917</v>
      </c>
      <c r="B76" s="405" t="s">
        <v>918</v>
      </c>
      <c r="C76" s="405">
        <v>97.911647000000002</v>
      </c>
      <c r="D76" s="405" t="s">
        <v>465</v>
      </c>
      <c r="E76" s="405" t="s">
        <v>1066</v>
      </c>
      <c r="F76" s="149">
        <v>22</v>
      </c>
      <c r="G76" s="149">
        <v>106</v>
      </c>
    </row>
    <row r="77" spans="1:7" x14ac:dyDescent="0.25">
      <c r="A77" s="405" t="s">
        <v>8</v>
      </c>
      <c r="B77" s="405" t="s">
        <v>7</v>
      </c>
      <c r="C77" s="405">
        <v>97.234200000000001</v>
      </c>
      <c r="D77" s="405" t="s">
        <v>465</v>
      </c>
      <c r="E77" s="405" t="s">
        <v>462</v>
      </c>
      <c r="F77" s="149">
        <v>13</v>
      </c>
      <c r="G77" s="149">
        <v>58</v>
      </c>
    </row>
    <row r="78" spans="1:7" x14ac:dyDescent="0.25">
      <c r="A78" s="405" t="s">
        <v>213</v>
      </c>
      <c r="B78" s="405" t="s">
        <v>212</v>
      </c>
      <c r="C78" s="405">
        <v>97.407787999999996</v>
      </c>
      <c r="D78" s="405" t="s">
        <v>465</v>
      </c>
      <c r="E78" s="405" t="s">
        <v>789</v>
      </c>
      <c r="F78" s="149">
        <v>44</v>
      </c>
      <c r="G78" s="149">
        <v>143</v>
      </c>
    </row>
    <row r="79" spans="1:7" x14ac:dyDescent="0.25">
      <c r="A79" s="405" t="s">
        <v>291</v>
      </c>
      <c r="B79" s="405" t="s">
        <v>290</v>
      </c>
      <c r="C79" s="405">
        <v>97.681970000000007</v>
      </c>
      <c r="D79" s="405" t="s">
        <v>465</v>
      </c>
      <c r="E79" s="405" t="s">
        <v>424</v>
      </c>
      <c r="F79" s="149">
        <v>75</v>
      </c>
      <c r="G79" s="149">
        <v>394</v>
      </c>
    </row>
    <row r="80" spans="1:7" x14ac:dyDescent="0.25">
      <c r="A80" s="405" t="s">
        <v>289</v>
      </c>
      <c r="B80" s="405" t="s">
        <v>287</v>
      </c>
      <c r="C80" s="405">
        <v>97.669557999999995</v>
      </c>
      <c r="D80" s="405" t="s">
        <v>465</v>
      </c>
      <c r="E80" s="405" t="s">
        <v>424</v>
      </c>
      <c r="F80" s="149">
        <v>66</v>
      </c>
      <c r="G80" s="149">
        <v>350</v>
      </c>
    </row>
    <row r="81" spans="1:7" x14ac:dyDescent="0.25">
      <c r="A81" s="405" t="s">
        <v>909</v>
      </c>
      <c r="B81" s="405" t="s">
        <v>910</v>
      </c>
      <c r="C81" s="405">
        <v>97.700940000000003</v>
      </c>
      <c r="D81" s="405" t="s">
        <v>465</v>
      </c>
      <c r="E81" s="405" t="s">
        <v>424</v>
      </c>
      <c r="F81" s="149">
        <v>35</v>
      </c>
      <c r="G81" s="149">
        <v>177</v>
      </c>
    </row>
    <row r="82" spans="1:7" x14ac:dyDescent="0.25">
      <c r="A82" s="405" t="s">
        <v>372</v>
      </c>
      <c r="B82" s="405" t="s">
        <v>294</v>
      </c>
      <c r="C82" s="405">
        <v>97.670360000000002</v>
      </c>
      <c r="D82" s="405" t="s">
        <v>465</v>
      </c>
      <c r="E82" s="405" t="s">
        <v>1066</v>
      </c>
      <c r="F82" s="149">
        <v>44</v>
      </c>
      <c r="G82" s="149">
        <v>218</v>
      </c>
    </row>
    <row r="83" spans="1:7" x14ac:dyDescent="0.25">
      <c r="A83" s="405" t="s">
        <v>149</v>
      </c>
      <c r="B83" s="405" t="s">
        <v>148</v>
      </c>
      <c r="C83" s="405">
        <v>97.818979999999996</v>
      </c>
      <c r="D83" s="405" t="s">
        <v>465</v>
      </c>
      <c r="E83" s="405" t="s">
        <v>424</v>
      </c>
      <c r="F83" s="149">
        <v>57</v>
      </c>
      <c r="G83" s="149">
        <v>262</v>
      </c>
    </row>
    <row r="84" spans="1:7" x14ac:dyDescent="0.25">
      <c r="A84" s="405" t="s">
        <v>552</v>
      </c>
      <c r="B84" s="405" t="s">
        <v>46</v>
      </c>
      <c r="C84" s="405">
        <v>96.339590000000001</v>
      </c>
      <c r="D84" s="405" t="s">
        <v>465</v>
      </c>
      <c r="E84" s="405" t="s">
        <v>462</v>
      </c>
      <c r="F84" s="149">
        <v>11</v>
      </c>
      <c r="G84" s="149">
        <v>45</v>
      </c>
    </row>
    <row r="85" spans="1:7" x14ac:dyDescent="0.25">
      <c r="A85" s="405" t="s">
        <v>761</v>
      </c>
      <c r="B85" s="405" t="s">
        <v>296</v>
      </c>
      <c r="C85" s="405">
        <v>97.404089999999997</v>
      </c>
      <c r="D85" s="405" t="s">
        <v>465</v>
      </c>
      <c r="E85" s="405" t="s">
        <v>424</v>
      </c>
      <c r="F85" s="149">
        <v>45</v>
      </c>
      <c r="G85" s="149">
        <v>195</v>
      </c>
    </row>
    <row r="86" spans="1:7" x14ac:dyDescent="0.25">
      <c r="A86" s="405" t="s">
        <v>921</v>
      </c>
      <c r="B86" s="405" t="s">
        <v>914</v>
      </c>
      <c r="C86" s="405">
        <v>97.709879999999998</v>
      </c>
      <c r="D86" s="405" t="s">
        <v>465</v>
      </c>
      <c r="E86" s="405" t="s">
        <v>424</v>
      </c>
      <c r="F86" s="149">
        <v>117</v>
      </c>
      <c r="G86" s="149">
        <v>545</v>
      </c>
    </row>
    <row r="87" spans="1:7" x14ac:dyDescent="0.25">
      <c r="A87" s="405" t="s">
        <v>270</v>
      </c>
      <c r="B87" s="405" t="s">
        <v>269</v>
      </c>
      <c r="C87" s="405">
        <v>97.359320179999997</v>
      </c>
      <c r="D87" s="405" t="s">
        <v>465</v>
      </c>
      <c r="E87" s="405" t="s">
        <v>943</v>
      </c>
      <c r="F87" s="149">
        <v>63</v>
      </c>
      <c r="G87" s="149">
        <v>310</v>
      </c>
    </row>
    <row r="88" spans="1:7" x14ac:dyDescent="0.25">
      <c r="A88" s="405" t="s">
        <v>20</v>
      </c>
      <c r="B88" s="405" t="s">
        <v>19</v>
      </c>
      <c r="C88" s="405">
        <v>97.315860000000001</v>
      </c>
      <c r="D88" s="405" t="s">
        <v>465</v>
      </c>
      <c r="E88" s="405" t="s">
        <v>942</v>
      </c>
      <c r="F88" s="149">
        <v>21</v>
      </c>
      <c r="G88" s="149">
        <v>113</v>
      </c>
    </row>
    <row r="89" spans="1:7" x14ac:dyDescent="0.25">
      <c r="A89" s="405" t="s">
        <v>108</v>
      </c>
      <c r="B89" s="405" t="s">
        <v>107</v>
      </c>
      <c r="C89" s="405">
        <v>96.341352999999998</v>
      </c>
      <c r="D89" s="405" t="s">
        <v>465</v>
      </c>
      <c r="E89" s="405" t="s">
        <v>943</v>
      </c>
      <c r="F89" s="149">
        <v>53</v>
      </c>
      <c r="G89" s="149">
        <v>277</v>
      </c>
    </row>
    <row r="90" spans="1:7" x14ac:dyDescent="0.25">
      <c r="A90" s="405" t="s">
        <v>536</v>
      </c>
      <c r="B90" s="405" t="s">
        <v>774</v>
      </c>
      <c r="C90" s="405">
        <v>98.352670000000003</v>
      </c>
      <c r="D90" s="405" t="s">
        <v>467</v>
      </c>
      <c r="E90" s="405" t="s">
        <v>789</v>
      </c>
      <c r="F90" s="149">
        <v>67</v>
      </c>
      <c r="G90" s="149">
        <v>392</v>
      </c>
    </row>
    <row r="91" spans="1:7" x14ac:dyDescent="0.25">
      <c r="A91" s="405" t="s">
        <v>178</v>
      </c>
      <c r="B91" s="405" t="s">
        <v>177</v>
      </c>
      <c r="C91" s="405">
        <v>96.948740000000001</v>
      </c>
      <c r="D91" s="405" t="s">
        <v>465</v>
      </c>
      <c r="E91" s="405" t="s">
        <v>424</v>
      </c>
      <c r="F91" s="149">
        <v>11</v>
      </c>
      <c r="G91" s="149">
        <v>40</v>
      </c>
    </row>
    <row r="92" spans="1:7" x14ac:dyDescent="0.25">
      <c r="A92" s="405" t="s">
        <v>342</v>
      </c>
      <c r="B92" s="405" t="s">
        <v>341</v>
      </c>
      <c r="C92" s="405">
        <v>97.345039</v>
      </c>
      <c r="D92" s="405" t="s">
        <v>465</v>
      </c>
      <c r="E92" s="405" t="s">
        <v>462</v>
      </c>
      <c r="F92" s="149">
        <v>20</v>
      </c>
      <c r="G92" s="149">
        <v>86</v>
      </c>
    </row>
    <row r="93" spans="1:7" x14ac:dyDescent="0.25">
      <c r="A93" s="405" t="s">
        <v>286</v>
      </c>
      <c r="B93" s="405" t="s">
        <v>285</v>
      </c>
      <c r="C93" s="405">
        <v>96.364949999999993</v>
      </c>
      <c r="D93" s="405" t="s">
        <v>465</v>
      </c>
      <c r="E93" s="405" t="s">
        <v>424</v>
      </c>
      <c r="F93" s="149">
        <v>24</v>
      </c>
      <c r="G93" s="149">
        <v>115</v>
      </c>
    </row>
    <row r="94" spans="1:7" x14ac:dyDescent="0.25">
      <c r="A94" s="405" t="s">
        <v>215</v>
      </c>
      <c r="B94" s="405" t="s">
        <v>214</v>
      </c>
      <c r="C94" s="405">
        <v>97.669366999999994</v>
      </c>
      <c r="D94" s="405" t="s">
        <v>467</v>
      </c>
      <c r="E94" s="405" t="s">
        <v>942</v>
      </c>
      <c r="F94" s="149">
        <v>356</v>
      </c>
      <c r="G94" s="149">
        <v>1787</v>
      </c>
    </row>
    <row r="95" spans="1:7" x14ac:dyDescent="0.25">
      <c r="A95" s="405" t="s">
        <v>268</v>
      </c>
      <c r="B95" s="405" t="s">
        <v>267</v>
      </c>
      <c r="C95" s="405">
        <v>97.394547000000003</v>
      </c>
      <c r="D95" s="405" t="s">
        <v>465</v>
      </c>
      <c r="E95" s="405" t="s">
        <v>424</v>
      </c>
      <c r="F95" s="149">
        <v>67</v>
      </c>
      <c r="G95" s="149">
        <v>297</v>
      </c>
    </row>
    <row r="96" spans="1:7" x14ac:dyDescent="0.25">
      <c r="A96" s="405" t="s">
        <v>229</v>
      </c>
      <c r="B96" s="405" t="s">
        <v>228</v>
      </c>
      <c r="C96" s="405">
        <v>97.724483000000006</v>
      </c>
      <c r="D96" s="405" t="s">
        <v>465</v>
      </c>
      <c r="E96" s="405" t="s">
        <v>424</v>
      </c>
      <c r="F96" s="149">
        <v>49</v>
      </c>
      <c r="G96" s="149">
        <v>300</v>
      </c>
    </row>
    <row r="97" spans="1:7" x14ac:dyDescent="0.25">
      <c r="A97" s="405" t="s">
        <v>272</v>
      </c>
      <c r="B97" s="405" t="s">
        <v>271</v>
      </c>
      <c r="C97" s="405">
        <v>97.4345</v>
      </c>
      <c r="D97" s="405" t="s">
        <v>465</v>
      </c>
      <c r="E97" s="405" t="s">
        <v>943</v>
      </c>
      <c r="F97" s="149">
        <v>46</v>
      </c>
      <c r="G97" s="149">
        <v>279</v>
      </c>
    </row>
    <row r="98" spans="1:7" x14ac:dyDescent="0.25">
      <c r="A98" s="405" t="s">
        <v>219</v>
      </c>
      <c r="B98" s="405" t="s">
        <v>218</v>
      </c>
      <c r="C98" s="405">
        <v>97.752667000000002</v>
      </c>
      <c r="D98" s="405" t="s">
        <v>467</v>
      </c>
      <c r="E98" s="405" t="s">
        <v>942</v>
      </c>
      <c r="F98" s="149">
        <v>651</v>
      </c>
      <c r="G98" s="149">
        <v>3602</v>
      </c>
    </row>
    <row r="99" spans="1:7" x14ac:dyDescent="0.25">
      <c r="A99" s="405" t="s">
        <v>792</v>
      </c>
      <c r="B99" s="405" t="s">
        <v>791</v>
      </c>
      <c r="C99" s="405">
        <v>98.377780000000001</v>
      </c>
      <c r="D99" s="405" t="s">
        <v>465</v>
      </c>
      <c r="E99" s="405" t="s">
        <v>943</v>
      </c>
      <c r="F99" s="149">
        <v>57</v>
      </c>
      <c r="G99" s="149">
        <v>269</v>
      </c>
    </row>
    <row r="100" spans="1:7" x14ac:dyDescent="0.25">
      <c r="A100" s="405" t="s">
        <v>364</v>
      </c>
      <c r="B100" s="405" t="s">
        <v>374</v>
      </c>
      <c r="C100" s="405">
        <v>97.252650000000003</v>
      </c>
      <c r="D100" s="405" t="s">
        <v>465</v>
      </c>
      <c r="E100" s="405" t="s">
        <v>424</v>
      </c>
      <c r="F100" s="149">
        <v>144</v>
      </c>
      <c r="G100" s="149">
        <v>754</v>
      </c>
    </row>
    <row r="101" spans="1:7" x14ac:dyDescent="0.25">
      <c r="A101" s="405" t="s">
        <v>353</v>
      </c>
      <c r="B101" s="405" t="s">
        <v>352</v>
      </c>
      <c r="C101" s="405">
        <v>97.990555999999998</v>
      </c>
      <c r="D101" s="405" t="s">
        <v>467</v>
      </c>
      <c r="E101" s="405" t="s">
        <v>943</v>
      </c>
      <c r="F101" s="149">
        <v>88</v>
      </c>
      <c r="G101" s="149">
        <v>545</v>
      </c>
    </row>
    <row r="102" spans="1:7" x14ac:dyDescent="0.25">
      <c r="A102" s="405" t="s">
        <v>317</v>
      </c>
      <c r="B102" s="405" t="s">
        <v>316</v>
      </c>
      <c r="C102" s="405">
        <v>97.441166388888902</v>
      </c>
      <c r="D102" s="405" t="s">
        <v>465</v>
      </c>
      <c r="E102" s="405" t="s">
        <v>462</v>
      </c>
      <c r="F102" s="149">
        <v>115</v>
      </c>
      <c r="G102" s="149">
        <v>460</v>
      </c>
    </row>
    <row r="103" spans="1:7" x14ac:dyDescent="0.25">
      <c r="A103" s="405" t="s">
        <v>340</v>
      </c>
      <c r="B103" s="405" t="s">
        <v>339</v>
      </c>
      <c r="C103" s="405">
        <v>97.438432380952406</v>
      </c>
      <c r="D103" s="405" t="s">
        <v>465</v>
      </c>
      <c r="E103" s="405" t="s">
        <v>424</v>
      </c>
      <c r="F103" s="149">
        <v>64</v>
      </c>
      <c r="G103" s="149">
        <v>323</v>
      </c>
    </row>
    <row r="104" spans="1:7" x14ac:dyDescent="0.25">
      <c r="A104" s="405" t="s">
        <v>337</v>
      </c>
      <c r="B104" s="405" t="s">
        <v>336</v>
      </c>
      <c r="C104" s="405">
        <v>97.437472666666693</v>
      </c>
      <c r="D104" s="405" t="s">
        <v>465</v>
      </c>
      <c r="E104" s="405" t="s">
        <v>462</v>
      </c>
      <c r="F104" s="149">
        <v>29</v>
      </c>
      <c r="G104" s="149">
        <v>160</v>
      </c>
    </row>
    <row r="105" spans="1:7" x14ac:dyDescent="0.25">
      <c r="A105" s="405" t="s">
        <v>349</v>
      </c>
      <c r="B105" s="405" t="s">
        <v>348</v>
      </c>
      <c r="C105" s="405">
        <v>97.432495000000003</v>
      </c>
      <c r="D105" s="405" t="s">
        <v>465</v>
      </c>
      <c r="E105" s="405" t="s">
        <v>462</v>
      </c>
      <c r="F105" s="149">
        <v>90</v>
      </c>
      <c r="G105" s="149">
        <v>491</v>
      </c>
    </row>
    <row r="106" spans="1:7" x14ac:dyDescent="0.25">
      <c r="A106" s="405" t="s">
        <v>118</v>
      </c>
      <c r="B106" s="405" t="s">
        <v>117</v>
      </c>
      <c r="C106" s="405">
        <v>96.279200000000003</v>
      </c>
      <c r="D106" s="405" t="s">
        <v>465</v>
      </c>
      <c r="E106" s="405" t="s">
        <v>462</v>
      </c>
      <c r="F106" s="149">
        <v>11</v>
      </c>
      <c r="G106" s="149">
        <v>36</v>
      </c>
    </row>
    <row r="107" spans="1:7" x14ac:dyDescent="0.25">
      <c r="A107" s="405" t="s">
        <v>22</v>
      </c>
      <c r="B107" s="405" t="s">
        <v>21</v>
      </c>
      <c r="C107" s="405">
        <v>97.229116811594196</v>
      </c>
      <c r="D107" s="405" t="s">
        <v>465</v>
      </c>
      <c r="E107" s="405" t="s">
        <v>424</v>
      </c>
      <c r="F107" s="149">
        <v>638</v>
      </c>
      <c r="G107" s="149">
        <v>3971</v>
      </c>
    </row>
    <row r="108" spans="1:7" x14ac:dyDescent="0.25">
      <c r="A108" s="405" t="s">
        <v>124</v>
      </c>
      <c r="B108" s="405" t="s">
        <v>123</v>
      </c>
      <c r="C108" s="405">
        <v>96.353030000000004</v>
      </c>
      <c r="D108" s="405" t="s">
        <v>465</v>
      </c>
      <c r="E108" s="405" t="s">
        <v>424</v>
      </c>
      <c r="F108" s="149">
        <v>8</v>
      </c>
      <c r="G108" s="149">
        <v>32</v>
      </c>
    </row>
    <row r="109" spans="1:7" x14ac:dyDescent="0.25">
      <c r="A109" s="405" t="s">
        <v>879</v>
      </c>
      <c r="B109" s="405" t="s">
        <v>880</v>
      </c>
      <c r="C109" s="405">
        <v>98.356260000000006</v>
      </c>
      <c r="D109" s="405" t="s">
        <v>465</v>
      </c>
      <c r="E109" s="405" t="s">
        <v>943</v>
      </c>
      <c r="F109" s="149">
        <v>30</v>
      </c>
      <c r="G109" s="149">
        <v>173</v>
      </c>
    </row>
    <row r="110" spans="1:7" x14ac:dyDescent="0.25">
      <c r="A110" s="405" t="s">
        <v>225</v>
      </c>
      <c r="B110" s="405" t="s">
        <v>224</v>
      </c>
      <c r="C110" s="405">
        <v>97.710864000000001</v>
      </c>
      <c r="D110" s="405" t="s">
        <v>465</v>
      </c>
      <c r="E110" s="405" t="s">
        <v>424</v>
      </c>
      <c r="F110" s="149">
        <v>41</v>
      </c>
      <c r="G110" s="149">
        <v>245</v>
      </c>
    </row>
    <row r="111" spans="1:7" x14ac:dyDescent="0.25">
      <c r="A111" s="405" t="s">
        <v>276</v>
      </c>
      <c r="B111" s="405" t="s">
        <v>275</v>
      </c>
      <c r="C111" s="405">
        <v>97.399628000000007</v>
      </c>
      <c r="D111" s="405" t="s">
        <v>465</v>
      </c>
      <c r="E111" s="405" t="s">
        <v>424</v>
      </c>
      <c r="F111" s="149">
        <v>121</v>
      </c>
      <c r="G111" s="149">
        <v>556</v>
      </c>
    </row>
    <row r="112" spans="1:7" x14ac:dyDescent="0.25">
      <c r="A112" s="405" t="s">
        <v>278</v>
      </c>
      <c r="B112" s="405" t="s">
        <v>277</v>
      </c>
      <c r="C112" s="405">
        <v>97.418004999999994</v>
      </c>
      <c r="D112" s="405" t="s">
        <v>465</v>
      </c>
      <c r="E112" s="405" t="s">
        <v>462</v>
      </c>
      <c r="F112" s="149">
        <v>23</v>
      </c>
      <c r="G112" s="149">
        <v>114</v>
      </c>
    </row>
    <row r="113" spans="1:7" x14ac:dyDescent="0.25">
      <c r="A113" s="405" t="s">
        <v>345</v>
      </c>
      <c r="B113" s="405" t="s">
        <v>344</v>
      </c>
      <c r="C113" s="405">
        <v>98.025662999999994</v>
      </c>
      <c r="D113" s="405" t="s">
        <v>465</v>
      </c>
      <c r="E113" s="405" t="s">
        <v>424</v>
      </c>
      <c r="F113" s="149">
        <v>182</v>
      </c>
      <c r="G113" s="149">
        <v>969</v>
      </c>
    </row>
    <row r="114" spans="1:7" x14ac:dyDescent="0.25">
      <c r="A114" s="405" t="s">
        <v>305</v>
      </c>
      <c r="B114" s="405" t="s">
        <v>304</v>
      </c>
      <c r="C114" s="405">
        <v>96.807353000000006</v>
      </c>
      <c r="D114" s="405" t="s">
        <v>465</v>
      </c>
      <c r="E114" s="405" t="s">
        <v>424</v>
      </c>
      <c r="F114" s="149">
        <v>86</v>
      </c>
      <c r="G114" s="149">
        <v>309</v>
      </c>
    </row>
    <row r="115" spans="1:7" x14ac:dyDescent="0.25">
      <c r="A115" s="405" t="s">
        <v>307</v>
      </c>
      <c r="B115" s="405" t="s">
        <v>306</v>
      </c>
      <c r="C115" s="405">
        <v>96.807353000000006</v>
      </c>
      <c r="D115" s="405" t="s">
        <v>465</v>
      </c>
      <c r="E115" s="405" t="s">
        <v>942</v>
      </c>
      <c r="F115" s="149">
        <v>46</v>
      </c>
      <c r="G115" s="149">
        <v>177</v>
      </c>
    </row>
    <row r="116" spans="1:7" x14ac:dyDescent="0.25">
      <c r="A116" s="405" t="s">
        <v>280</v>
      </c>
      <c r="B116" s="405" t="s">
        <v>279</v>
      </c>
      <c r="C116" s="405">
        <v>97.419403000000003</v>
      </c>
      <c r="D116" s="405" t="s">
        <v>465</v>
      </c>
      <c r="E116" s="405" t="s">
        <v>424</v>
      </c>
      <c r="F116" s="149">
        <v>91</v>
      </c>
      <c r="G116" s="149">
        <v>501</v>
      </c>
    </row>
    <row r="117" spans="1:7" x14ac:dyDescent="0.25">
      <c r="A117" s="405" t="s">
        <v>181</v>
      </c>
      <c r="B117" s="405" t="s">
        <v>179</v>
      </c>
      <c r="C117" s="405">
        <v>96.367059999999995</v>
      </c>
      <c r="D117" s="405" t="s">
        <v>465</v>
      </c>
      <c r="E117" s="405" t="s">
        <v>943</v>
      </c>
      <c r="F117" s="149">
        <v>11</v>
      </c>
      <c r="G117" s="149">
        <v>51</v>
      </c>
    </row>
    <row r="118" spans="1:7" x14ac:dyDescent="0.25">
      <c r="A118" s="405" t="s">
        <v>748</v>
      </c>
      <c r="B118" s="405" t="s">
        <v>752</v>
      </c>
      <c r="C118" s="405">
        <v>97.568836000000005</v>
      </c>
      <c r="D118" s="405" t="s">
        <v>465</v>
      </c>
      <c r="E118" s="405" t="s">
        <v>789</v>
      </c>
      <c r="F118" s="149">
        <v>5</v>
      </c>
      <c r="G118" s="149">
        <v>32</v>
      </c>
    </row>
    <row r="119" spans="1:7" x14ac:dyDescent="0.25">
      <c r="A119" s="405" t="s">
        <v>24</v>
      </c>
      <c r="B119" s="405" t="s">
        <v>23</v>
      </c>
      <c r="C119" s="405">
        <v>97.227789999999999</v>
      </c>
      <c r="D119" s="405" t="s">
        <v>465</v>
      </c>
      <c r="E119" s="405" t="s">
        <v>462</v>
      </c>
      <c r="F119" s="149">
        <v>20</v>
      </c>
      <c r="G119" s="149">
        <v>95</v>
      </c>
    </row>
    <row r="120" spans="1:7" x14ac:dyDescent="0.25">
      <c r="A120" s="405" t="s">
        <v>238</v>
      </c>
      <c r="B120" s="405" t="s">
        <v>236</v>
      </c>
      <c r="C120" s="405">
        <v>97.386718999999999</v>
      </c>
      <c r="D120" s="405" t="s">
        <v>465</v>
      </c>
      <c r="E120" s="405" t="s">
        <v>424</v>
      </c>
      <c r="F120" s="149">
        <v>69</v>
      </c>
      <c r="G120" s="149">
        <v>366</v>
      </c>
    </row>
    <row r="121" spans="1:7" x14ac:dyDescent="0.25">
      <c r="A121" s="405" t="s">
        <v>248</v>
      </c>
      <c r="B121" s="405" t="s">
        <v>247</v>
      </c>
      <c r="C121" s="405">
        <v>97.389778000000007</v>
      </c>
      <c r="D121" s="405" t="s">
        <v>465</v>
      </c>
      <c r="E121" s="405" t="s">
        <v>462</v>
      </c>
      <c r="F121" s="149">
        <v>6</v>
      </c>
      <c r="G121" s="149">
        <v>31</v>
      </c>
    </row>
    <row r="122" spans="1:7" x14ac:dyDescent="0.25">
      <c r="A122" s="405" t="s">
        <v>250</v>
      </c>
      <c r="B122" s="405" t="s">
        <v>249</v>
      </c>
      <c r="C122" s="405">
        <v>97.377662999999998</v>
      </c>
      <c r="D122" s="405" t="s">
        <v>465</v>
      </c>
      <c r="E122" s="405" t="s">
        <v>424</v>
      </c>
      <c r="F122" s="149">
        <v>30</v>
      </c>
      <c r="G122" s="149">
        <v>170</v>
      </c>
    </row>
    <row r="123" spans="1:7" x14ac:dyDescent="0.25">
      <c r="A123" s="405" t="s">
        <v>274</v>
      </c>
      <c r="B123" s="405" t="s">
        <v>273</v>
      </c>
      <c r="C123" s="405">
        <v>97.382192000000003</v>
      </c>
      <c r="D123" s="405" t="s">
        <v>465</v>
      </c>
      <c r="E123" s="405" t="s">
        <v>424</v>
      </c>
      <c r="F123" s="149">
        <v>46</v>
      </c>
      <c r="G123" s="149">
        <v>239</v>
      </c>
    </row>
    <row r="124" spans="1:7" x14ac:dyDescent="0.25">
      <c r="A124" s="405" t="s">
        <v>347</v>
      </c>
      <c r="B124" s="405" t="s">
        <v>346</v>
      </c>
      <c r="C124" s="405">
        <v>97.428251153846105</v>
      </c>
      <c r="D124" s="405" t="s">
        <v>465</v>
      </c>
      <c r="E124" s="405" t="s">
        <v>462</v>
      </c>
      <c r="F124" s="149">
        <v>46</v>
      </c>
      <c r="G124" s="149">
        <v>190</v>
      </c>
    </row>
    <row r="125" spans="1:7" x14ac:dyDescent="0.25">
      <c r="A125" s="405" t="s">
        <v>300</v>
      </c>
      <c r="B125" s="405" t="s">
        <v>298</v>
      </c>
      <c r="C125" s="405">
        <v>97.415289999999999</v>
      </c>
      <c r="D125" s="405" t="s">
        <v>465</v>
      </c>
      <c r="E125" s="405" t="s">
        <v>789</v>
      </c>
      <c r="F125" s="149">
        <v>14</v>
      </c>
      <c r="G125" s="149">
        <v>75</v>
      </c>
    </row>
    <row r="126" spans="1:7" x14ac:dyDescent="0.25">
      <c r="A126" s="405" t="s">
        <v>315</v>
      </c>
      <c r="B126" s="405" t="s">
        <v>314</v>
      </c>
      <c r="C126" s="405">
        <v>97.444283730158702</v>
      </c>
      <c r="D126" s="405" t="s">
        <v>465</v>
      </c>
      <c r="E126" s="405" t="s">
        <v>462</v>
      </c>
      <c r="F126" s="149">
        <v>69</v>
      </c>
      <c r="G126" s="149">
        <v>286</v>
      </c>
    </row>
    <row r="127" spans="1:7" x14ac:dyDescent="0.25">
      <c r="A127" s="405" t="s">
        <v>126</v>
      </c>
      <c r="B127" s="405" t="s">
        <v>125</v>
      </c>
      <c r="C127" s="405">
        <v>96.286680000000004</v>
      </c>
      <c r="D127" s="405" t="s">
        <v>465</v>
      </c>
      <c r="E127" s="405" t="s">
        <v>424</v>
      </c>
      <c r="F127" s="149">
        <v>32</v>
      </c>
      <c r="G127" s="149">
        <v>171</v>
      </c>
    </row>
    <row r="128" spans="1:7" x14ac:dyDescent="0.25">
      <c r="A128" s="405" t="s">
        <v>351</v>
      </c>
      <c r="B128" s="405" t="s">
        <v>350</v>
      </c>
      <c r="C128" s="405">
        <v>97.546893999999995</v>
      </c>
      <c r="D128" s="405" t="s">
        <v>467</v>
      </c>
      <c r="E128" s="405" t="s">
        <v>943</v>
      </c>
      <c r="F128" s="149">
        <v>1411</v>
      </c>
      <c r="G128" s="149">
        <v>6904</v>
      </c>
    </row>
    <row r="129" spans="1:7" x14ac:dyDescent="0.25">
      <c r="A129" s="405" t="s">
        <v>26</v>
      </c>
      <c r="B129" s="405" t="s">
        <v>25</v>
      </c>
      <c r="C129" s="405">
        <v>97.240639999999999</v>
      </c>
      <c r="D129" s="405" t="s">
        <v>465</v>
      </c>
      <c r="E129" s="405" t="s">
        <v>462</v>
      </c>
      <c r="F129" s="149">
        <v>14</v>
      </c>
      <c r="G129" s="149">
        <v>74</v>
      </c>
    </row>
    <row r="130" spans="1:7" x14ac:dyDescent="0.25">
      <c r="A130" s="405" t="s">
        <v>140</v>
      </c>
      <c r="B130" s="405" t="s">
        <v>139</v>
      </c>
      <c r="C130" s="405">
        <v>96.306910999999999</v>
      </c>
      <c r="D130" s="405" t="s">
        <v>465</v>
      </c>
      <c r="E130" s="405" t="s">
        <v>424</v>
      </c>
      <c r="F130" s="149">
        <v>11</v>
      </c>
      <c r="G130" s="149">
        <v>48</v>
      </c>
    </row>
    <row r="131" spans="1:7" x14ac:dyDescent="0.25">
      <c r="A131" s="405" t="s">
        <v>371</v>
      </c>
      <c r="B131" s="405" t="s">
        <v>385</v>
      </c>
      <c r="C131" s="405">
        <v>97.837040000000002</v>
      </c>
      <c r="D131" s="405" t="s">
        <v>465</v>
      </c>
      <c r="E131" s="405" t="s">
        <v>424</v>
      </c>
      <c r="F131" s="149">
        <v>187</v>
      </c>
      <c r="G131" s="149">
        <v>971</v>
      </c>
    </row>
    <row r="132" spans="1:7" x14ac:dyDescent="0.25">
      <c r="A132" s="405" t="s">
        <v>993</v>
      </c>
      <c r="B132" s="405" t="s">
        <v>995</v>
      </c>
      <c r="C132" s="405">
        <v>96.52534</v>
      </c>
      <c r="D132" s="405" t="s">
        <v>465</v>
      </c>
      <c r="E132" s="405" t="s">
        <v>789</v>
      </c>
      <c r="F132" s="149">
        <v>27</v>
      </c>
      <c r="G132" s="149">
        <v>121</v>
      </c>
    </row>
    <row r="133" spans="1:7" x14ac:dyDescent="0.25">
      <c r="A133" s="405" t="s">
        <v>994</v>
      </c>
      <c r="B133" s="405" t="s">
        <v>996</v>
      </c>
      <c r="C133" s="405">
        <v>96.366919999999993</v>
      </c>
      <c r="D133" s="405" t="s">
        <v>465</v>
      </c>
      <c r="E133" s="405" t="s">
        <v>789</v>
      </c>
      <c r="F133" s="149">
        <v>14</v>
      </c>
      <c r="G133" s="149">
        <v>63</v>
      </c>
    </row>
    <row r="134" spans="1:7" x14ac:dyDescent="0.25">
      <c r="A134" s="405" t="s">
        <v>1048</v>
      </c>
      <c r="B134" s="405" t="s">
        <v>343</v>
      </c>
      <c r="C134" s="405">
        <v>97.751389000000003</v>
      </c>
      <c r="D134" s="405" t="s">
        <v>467</v>
      </c>
      <c r="E134" s="405" t="s">
        <v>424</v>
      </c>
      <c r="F134" s="149">
        <v>186</v>
      </c>
      <c r="G134" s="149">
        <v>858</v>
      </c>
    </row>
    <row r="135" spans="1:7" x14ac:dyDescent="0.25">
      <c r="A135" s="405" t="s">
        <v>1049</v>
      </c>
      <c r="B135" s="405" t="s">
        <v>241</v>
      </c>
      <c r="C135" s="405">
        <v>97.379987</v>
      </c>
      <c r="D135" s="405" t="s">
        <v>465</v>
      </c>
      <c r="E135" s="405" t="s">
        <v>462</v>
      </c>
      <c r="F135" s="149">
        <v>54</v>
      </c>
      <c r="G135" s="149">
        <v>264</v>
      </c>
    </row>
    <row r="136" spans="1:7" x14ac:dyDescent="0.25">
      <c r="A136" s="405" t="s">
        <v>1064</v>
      </c>
      <c r="B136" s="405" t="s">
        <v>1063</v>
      </c>
      <c r="C136" s="405">
        <v>97.416121000000004</v>
      </c>
      <c r="D136" s="405" t="s">
        <v>465</v>
      </c>
      <c r="E136" s="405" t="s">
        <v>424</v>
      </c>
      <c r="F136" s="149">
        <v>61</v>
      </c>
      <c r="G136" s="149">
        <v>281</v>
      </c>
    </row>
    <row r="137" spans="1:7" x14ac:dyDescent="0.25">
      <c r="A137" s="405" t="s">
        <v>1078</v>
      </c>
      <c r="B137" s="405" t="s">
        <v>1062</v>
      </c>
      <c r="C137" s="405">
        <v>98.218626999999998</v>
      </c>
      <c r="D137" s="405" t="s">
        <v>465</v>
      </c>
      <c r="E137" s="405" t="s">
        <v>424</v>
      </c>
      <c r="F137" s="149">
        <v>33</v>
      </c>
      <c r="G137" s="149">
        <v>174</v>
      </c>
    </row>
    <row r="138" spans="1:7" x14ac:dyDescent="0.25">
      <c r="A138" s="405" t="s">
        <v>1080</v>
      </c>
      <c r="B138" s="405" t="s">
        <v>1074</v>
      </c>
      <c r="C138" s="405">
        <v>96.793999999999997</v>
      </c>
      <c r="D138" s="405" t="s">
        <v>465</v>
      </c>
      <c r="E138" s="405" t="s">
        <v>424</v>
      </c>
      <c r="F138" s="149">
        <v>28</v>
      </c>
      <c r="G138" s="149">
        <v>133</v>
      </c>
    </row>
    <row r="139" spans="1:7" x14ac:dyDescent="0.25">
      <c r="A139" s="405" t="s">
        <v>1072</v>
      </c>
      <c r="B139" s="405" t="s">
        <v>1075</v>
      </c>
      <c r="C139" s="405">
        <v>96.942279999999997</v>
      </c>
      <c r="D139" s="405" t="s">
        <v>465</v>
      </c>
      <c r="E139" s="405" t="s">
        <v>789</v>
      </c>
      <c r="F139" s="149">
        <v>7</v>
      </c>
      <c r="G139" s="149">
        <v>31</v>
      </c>
    </row>
    <row r="140" spans="1:7" x14ac:dyDescent="0.25">
      <c r="A140" s="405" t="s">
        <v>1084</v>
      </c>
      <c r="B140" s="405" t="s">
        <v>1085</v>
      </c>
      <c r="C140" s="405">
        <v>97.745480999999998</v>
      </c>
      <c r="D140" s="405" t="s">
        <v>467</v>
      </c>
      <c r="E140" s="405" t="s">
        <v>424</v>
      </c>
      <c r="F140" s="149">
        <v>70</v>
      </c>
      <c r="G140" s="149">
        <v>407</v>
      </c>
    </row>
    <row r="141" spans="1:7" x14ac:dyDescent="0.25">
      <c r="A141" s="405" t="s">
        <v>1086</v>
      </c>
      <c r="B141" s="405" t="s">
        <v>1087</v>
      </c>
      <c r="C141" s="405">
        <v>97.75609</v>
      </c>
      <c r="D141" s="405" t="s">
        <v>467</v>
      </c>
      <c r="E141" s="405" t="s">
        <v>424</v>
      </c>
      <c r="F141" s="149">
        <v>63</v>
      </c>
      <c r="G141" s="149">
        <v>325</v>
      </c>
    </row>
    <row r="142" spans="1:7" x14ac:dyDescent="0.25">
      <c r="A142" s="405" t="s">
        <v>1100</v>
      </c>
      <c r="B142" s="405" t="s">
        <v>1101</v>
      </c>
      <c r="C142" s="405">
        <v>97.868876999999998</v>
      </c>
      <c r="D142" s="405" t="s">
        <v>465</v>
      </c>
      <c r="E142" s="405" t="s">
        <v>789</v>
      </c>
      <c r="F142" s="149">
        <v>105</v>
      </c>
      <c r="G142" s="149">
        <v>568</v>
      </c>
    </row>
    <row r="143" spans="1:7" x14ac:dyDescent="0.25">
      <c r="A143" s="405" t="s">
        <v>1157</v>
      </c>
      <c r="B143" s="405" t="s">
        <v>1149</v>
      </c>
      <c r="C143" s="405">
        <v>97.796999999999997</v>
      </c>
      <c r="D143" s="405" t="s">
        <v>465</v>
      </c>
      <c r="E143" s="405" t="s">
        <v>424</v>
      </c>
      <c r="F143" s="149">
        <v>139</v>
      </c>
      <c r="G143" s="149">
        <v>704</v>
      </c>
    </row>
    <row r="144" spans="1:7" x14ac:dyDescent="0.25">
      <c r="A144" s="405" t="s">
        <v>1159</v>
      </c>
      <c r="B144" s="405" t="s">
        <v>1153</v>
      </c>
      <c r="C144" s="405">
        <v>97.506</v>
      </c>
      <c r="D144" s="405" t="s">
        <v>465</v>
      </c>
      <c r="E144" s="405" t="s">
        <v>789</v>
      </c>
      <c r="F144" s="149">
        <v>61</v>
      </c>
      <c r="G144" s="149">
        <v>276</v>
      </c>
    </row>
    <row r="145" spans="1:7" x14ac:dyDescent="0.25">
      <c r="A145" s="405" t="s">
        <v>1160</v>
      </c>
      <c r="B145" s="405" t="s">
        <v>1154</v>
      </c>
      <c r="C145" s="405">
        <v>97.810101000000003</v>
      </c>
      <c r="D145" s="405" t="s">
        <v>465</v>
      </c>
      <c r="E145" s="405" t="s">
        <v>789</v>
      </c>
      <c r="F145" s="149">
        <v>37</v>
      </c>
      <c r="G145" s="149">
        <v>130</v>
      </c>
    </row>
    <row r="146" spans="1:7" x14ac:dyDescent="0.25">
      <c r="A146" s="405" t="s">
        <v>1166</v>
      </c>
      <c r="B146" s="405" t="s">
        <v>1150</v>
      </c>
      <c r="C146" s="405">
        <v>97.358999999999995</v>
      </c>
      <c r="D146" s="405" t="s">
        <v>465</v>
      </c>
      <c r="E146" s="405" t="s">
        <v>789</v>
      </c>
      <c r="F146" s="149">
        <v>19</v>
      </c>
      <c r="G146" s="149">
        <v>82</v>
      </c>
    </row>
    <row r="147" spans="1:7" x14ac:dyDescent="0.25">
      <c r="A147" s="405" t="s">
        <v>1169</v>
      </c>
      <c r="B147" s="405" t="s">
        <v>1151</v>
      </c>
      <c r="C147" s="405" t="s">
        <v>789</v>
      </c>
      <c r="D147" s="405" t="s">
        <v>465</v>
      </c>
      <c r="E147" s="405" t="s">
        <v>789</v>
      </c>
      <c r="F147" s="149">
        <v>36</v>
      </c>
      <c r="G147" s="149">
        <v>188</v>
      </c>
    </row>
    <row r="148" spans="1:7" x14ac:dyDescent="0.25">
      <c r="A148" s="405" t="s">
        <v>1175</v>
      </c>
      <c r="B148" s="405" t="s">
        <v>1156</v>
      </c>
      <c r="C148" s="405">
        <v>98.337999999999994</v>
      </c>
      <c r="D148" s="405" t="s">
        <v>465</v>
      </c>
      <c r="E148" s="405" t="s">
        <v>789</v>
      </c>
      <c r="F148" s="149">
        <v>30</v>
      </c>
      <c r="G148" s="149">
        <v>170</v>
      </c>
    </row>
    <row r="149" spans="1:7" x14ac:dyDescent="0.25">
      <c r="A149" s="405" t="s">
        <v>1188</v>
      </c>
      <c r="B149" s="405" t="s">
        <v>1191</v>
      </c>
      <c r="C149" s="405">
        <v>96.662092000000001</v>
      </c>
      <c r="D149" s="405" t="s">
        <v>465</v>
      </c>
      <c r="E149" s="405" t="s">
        <v>424</v>
      </c>
      <c r="F149" s="149">
        <v>28</v>
      </c>
      <c r="G149" s="149">
        <v>111</v>
      </c>
    </row>
    <row r="150" spans="1:7" x14ac:dyDescent="0.25">
      <c r="A150" s="405" t="s">
        <v>1187</v>
      </c>
      <c r="B150" s="405" t="s">
        <v>1193</v>
      </c>
      <c r="C150" s="405">
        <v>96.662092000000001</v>
      </c>
      <c r="D150" s="405" t="s">
        <v>465</v>
      </c>
      <c r="E150" s="405" t="s">
        <v>943</v>
      </c>
      <c r="F150" s="149">
        <v>6</v>
      </c>
      <c r="G150" s="149">
        <v>15</v>
      </c>
    </row>
    <row r="151" spans="1:7" x14ac:dyDescent="0.25">
      <c r="A151" s="405" t="s">
        <v>1186</v>
      </c>
      <c r="B151" s="405" t="s">
        <v>1194</v>
      </c>
      <c r="C151" s="405">
        <v>96.662092000000001</v>
      </c>
      <c r="D151" s="405" t="s">
        <v>465</v>
      </c>
      <c r="E151" s="405" t="s">
        <v>943</v>
      </c>
      <c r="F151" s="149">
        <v>18</v>
      </c>
      <c r="G151" s="149">
        <v>78</v>
      </c>
    </row>
    <row r="152" spans="1:7" x14ac:dyDescent="0.25">
      <c r="A152" s="405" t="s">
        <v>1221</v>
      </c>
      <c r="B152" s="405" t="s">
        <v>1203</v>
      </c>
      <c r="C152" s="405" t="s">
        <v>789</v>
      </c>
      <c r="D152" s="405" t="s">
        <v>465</v>
      </c>
      <c r="E152" s="405" t="s">
        <v>1066</v>
      </c>
      <c r="F152" s="149">
        <v>25</v>
      </c>
      <c r="G152" s="149">
        <v>123</v>
      </c>
    </row>
    <row r="153" spans="1:7" x14ac:dyDescent="0.25">
      <c r="A153" s="405" t="s">
        <v>1227</v>
      </c>
      <c r="B153" s="405" t="s">
        <v>1215</v>
      </c>
      <c r="C153" s="405">
        <v>97.314762999999999</v>
      </c>
      <c r="D153" s="405" t="s">
        <v>465</v>
      </c>
      <c r="E153" s="405" t="s">
        <v>789</v>
      </c>
      <c r="F153" s="149">
        <v>37</v>
      </c>
      <c r="G153" s="149">
        <v>120</v>
      </c>
    </row>
    <row r="154" spans="1:7" x14ac:dyDescent="0.25">
      <c r="A154" s="405" t="s">
        <v>1263</v>
      </c>
      <c r="B154" s="405" t="s">
        <v>1262</v>
      </c>
      <c r="C154" s="405">
        <v>97.947360000000003</v>
      </c>
      <c r="D154" s="405" t="s">
        <v>465</v>
      </c>
      <c r="E154" s="405" t="s">
        <v>424</v>
      </c>
      <c r="F154" s="149">
        <v>36</v>
      </c>
      <c r="G154" s="149">
        <v>146</v>
      </c>
    </row>
    <row r="155" spans="1:7" x14ac:dyDescent="0.25">
      <c r="A155" s="405" t="s">
        <v>1273</v>
      </c>
      <c r="B155" s="405" t="s">
        <v>1274</v>
      </c>
      <c r="C155" s="405" t="s">
        <v>789</v>
      </c>
      <c r="D155" s="405" t="s">
        <v>465</v>
      </c>
      <c r="E155" s="405" t="s">
        <v>789</v>
      </c>
      <c r="F155" s="149">
        <v>24</v>
      </c>
      <c r="G155" s="149">
        <v>84</v>
      </c>
    </row>
    <row r="156" spans="1:7" x14ac:dyDescent="0.25">
      <c r="A156" s="405" t="s">
        <v>717</v>
      </c>
      <c r="B156" s="405" t="s">
        <v>1278</v>
      </c>
      <c r="C156" s="405">
        <v>98.115809999999996</v>
      </c>
      <c r="D156" s="405" t="s">
        <v>465</v>
      </c>
      <c r="E156" s="405" t="s">
        <v>424</v>
      </c>
      <c r="F156" s="149">
        <v>154</v>
      </c>
      <c r="G156" s="149">
        <v>778</v>
      </c>
    </row>
    <row r="157" spans="1:7" x14ac:dyDescent="0.25">
      <c r="A157" s="405" t="s">
        <v>1290</v>
      </c>
      <c r="B157" s="405" t="s">
        <v>1287</v>
      </c>
      <c r="C157" s="405">
        <v>97.430321000000006</v>
      </c>
      <c r="D157" s="405" t="s">
        <v>465</v>
      </c>
      <c r="E157" s="405" t="s">
        <v>789</v>
      </c>
      <c r="F157" s="149">
        <v>62</v>
      </c>
      <c r="G157" s="149">
        <v>410</v>
      </c>
    </row>
    <row r="158" spans="1:7" x14ac:dyDescent="0.25">
      <c r="A158" s="405" t="s">
        <v>1301</v>
      </c>
      <c r="B158" s="405" t="s">
        <v>1299</v>
      </c>
      <c r="C158" s="405" t="s">
        <v>789</v>
      </c>
      <c r="D158" s="405" t="s">
        <v>467</v>
      </c>
      <c r="E158" s="405" t="s">
        <v>424</v>
      </c>
      <c r="F158" s="149">
        <v>408</v>
      </c>
      <c r="G158" s="149">
        <v>1888</v>
      </c>
    </row>
    <row r="159" spans="1:7" x14ac:dyDescent="0.25">
      <c r="A159" s="405" t="s">
        <v>1426</v>
      </c>
      <c r="B159" s="405" t="s">
        <v>1415</v>
      </c>
      <c r="C159" s="405" t="s">
        <v>789</v>
      </c>
      <c r="D159" s="405" t="s">
        <v>465</v>
      </c>
      <c r="E159" s="405" t="s">
        <v>424</v>
      </c>
      <c r="F159" s="149">
        <v>118</v>
      </c>
      <c r="G159" s="149">
        <v>618</v>
      </c>
    </row>
    <row r="160" spans="1:7" x14ac:dyDescent="0.25">
      <c r="A160" s="405" t="s">
        <v>1425</v>
      </c>
      <c r="B160" s="405" t="s">
        <v>1424</v>
      </c>
      <c r="C160" s="405">
        <v>97.400671000000003</v>
      </c>
      <c r="D160" s="405" t="s">
        <v>465</v>
      </c>
      <c r="E160" s="405" t="s">
        <v>1066</v>
      </c>
      <c r="F160" s="149">
        <v>59</v>
      </c>
      <c r="G160" s="149">
        <v>250</v>
      </c>
    </row>
    <row r="161" spans="1:7" x14ac:dyDescent="0.25">
      <c r="A161" s="405" t="s">
        <v>1592</v>
      </c>
      <c r="B161" s="405" t="s">
        <v>1608</v>
      </c>
      <c r="C161" s="405" t="s">
        <v>789</v>
      </c>
      <c r="D161" s="405" t="s">
        <v>465</v>
      </c>
      <c r="E161" s="405" t="s">
        <v>789</v>
      </c>
      <c r="F161" s="149">
        <v>52</v>
      </c>
      <c r="G161" s="149">
        <v>219</v>
      </c>
    </row>
    <row r="162" spans="1:7" x14ac:dyDescent="0.25">
      <c r="A162" s="405" t="s">
        <v>1593</v>
      </c>
      <c r="B162" s="405" t="s">
        <v>1609</v>
      </c>
      <c r="C162" s="405" t="s">
        <v>789</v>
      </c>
      <c r="D162" s="405" t="s">
        <v>465</v>
      </c>
      <c r="E162" s="405" t="s">
        <v>789</v>
      </c>
      <c r="F162" s="149">
        <v>157</v>
      </c>
      <c r="G162" s="149">
        <v>486</v>
      </c>
    </row>
    <row r="163" spans="1:7" x14ac:dyDescent="0.25">
      <c r="A163" s="405" t="s">
        <v>1594</v>
      </c>
      <c r="B163" s="405" t="s">
        <v>1610</v>
      </c>
      <c r="C163" s="405" t="s">
        <v>789</v>
      </c>
      <c r="D163" s="405" t="s">
        <v>465</v>
      </c>
      <c r="E163" s="405" t="s">
        <v>789</v>
      </c>
      <c r="F163" s="149">
        <v>36</v>
      </c>
      <c r="G163" s="149">
        <v>137</v>
      </c>
    </row>
    <row r="164" spans="1:7" x14ac:dyDescent="0.25">
      <c r="A164" s="405" t="s">
        <v>1604</v>
      </c>
      <c r="B164" s="405" t="s">
        <v>1607</v>
      </c>
      <c r="C164" s="405" t="s">
        <v>789</v>
      </c>
      <c r="D164" s="405" t="s">
        <v>465</v>
      </c>
      <c r="E164" s="405" t="s">
        <v>789</v>
      </c>
      <c r="F164" s="149">
        <v>44</v>
      </c>
      <c r="G164" s="149">
        <v>150</v>
      </c>
    </row>
    <row r="165" spans="1:7" x14ac:dyDescent="0.25">
      <c r="A165" s="405" t="s">
        <v>1719</v>
      </c>
      <c r="B165" s="405" t="s">
        <v>244</v>
      </c>
      <c r="C165" s="405">
        <v>97.382997575757599</v>
      </c>
      <c r="D165" s="405" t="s">
        <v>465</v>
      </c>
      <c r="E165" s="405" t="s">
        <v>424</v>
      </c>
      <c r="F165" s="149">
        <v>42</v>
      </c>
      <c r="G165" s="149">
        <v>186</v>
      </c>
    </row>
    <row r="166" spans="1:7" x14ac:dyDescent="0.25">
      <c r="A166" s="405" t="s">
        <v>1727</v>
      </c>
      <c r="B166" s="405" t="s">
        <v>789</v>
      </c>
      <c r="C166" s="405" t="s">
        <v>789</v>
      </c>
      <c r="D166" s="405" t="s">
        <v>465</v>
      </c>
      <c r="E166" s="405" t="s">
        <v>1479</v>
      </c>
      <c r="F166" s="149">
        <v>23</v>
      </c>
      <c r="G166" s="149">
        <v>54</v>
      </c>
    </row>
    <row r="167" spans="1:7" x14ac:dyDescent="0.25">
      <c r="A167" s="405" t="s">
        <v>1696</v>
      </c>
      <c r="B167" s="405" t="s">
        <v>175</v>
      </c>
      <c r="C167" s="405">
        <v>96.942279999999997</v>
      </c>
      <c r="D167" s="405" t="s">
        <v>465</v>
      </c>
      <c r="E167" s="405" t="s">
        <v>424</v>
      </c>
      <c r="F167" s="149">
        <v>16</v>
      </c>
      <c r="G167" s="149">
        <v>79</v>
      </c>
    </row>
    <row r="168" spans="1:7" x14ac:dyDescent="0.25">
      <c r="A168" s="405" t="s">
        <v>1755</v>
      </c>
      <c r="B168" s="405" t="s">
        <v>789</v>
      </c>
      <c r="C168" s="405" t="s">
        <v>789</v>
      </c>
      <c r="D168" s="405" t="s">
        <v>465</v>
      </c>
      <c r="E168" s="405" t="s">
        <v>789</v>
      </c>
      <c r="F168" s="149">
        <v>37</v>
      </c>
      <c r="G168" s="149">
        <v>198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55" t="s">
        <v>458</v>
      </c>
      <c r="B1" s="405" t="s">
        <v>460</v>
      </c>
    </row>
    <row r="2" spans="1:4" hidden="1" x14ac:dyDescent="0.25"/>
    <row r="3" spans="1:4" x14ac:dyDescent="0.25">
      <c r="A3" s="155" t="s">
        <v>399</v>
      </c>
      <c r="B3" s="155" t="s">
        <v>0</v>
      </c>
      <c r="C3" s="155" t="s">
        <v>464</v>
      </c>
      <c r="D3" s="155" t="s">
        <v>512</v>
      </c>
    </row>
    <row r="4" spans="1:4" x14ac:dyDescent="0.25">
      <c r="A4" s="405" t="s">
        <v>780</v>
      </c>
      <c r="B4" s="405" t="s">
        <v>5</v>
      </c>
      <c r="C4" s="405" t="s">
        <v>14</v>
      </c>
      <c r="D4" s="405" t="s">
        <v>13</v>
      </c>
    </row>
    <row r="5" spans="1:4" x14ac:dyDescent="0.25">
      <c r="C5" s="405" t="s">
        <v>18</v>
      </c>
      <c r="D5" s="405" t="s">
        <v>17</v>
      </c>
    </row>
    <row r="6" spans="1:4" x14ac:dyDescent="0.25">
      <c r="C6" s="405" t="s">
        <v>364</v>
      </c>
      <c r="D6" s="405" t="s">
        <v>374</v>
      </c>
    </row>
    <row r="7" spans="1:4" x14ac:dyDescent="0.25">
      <c r="C7" s="405" t="s">
        <v>22</v>
      </c>
      <c r="D7" s="405" t="s">
        <v>21</v>
      </c>
    </row>
    <row r="8" spans="1:4" x14ac:dyDescent="0.25">
      <c r="C8" s="405" t="s">
        <v>26</v>
      </c>
      <c r="D8" s="405" t="s">
        <v>25</v>
      </c>
    </row>
    <row r="9" spans="1:4" x14ac:dyDescent="0.25">
      <c r="B9" s="405" t="s">
        <v>146</v>
      </c>
      <c r="C9" s="405" t="s">
        <v>367</v>
      </c>
      <c r="D9" s="405" t="s">
        <v>381</v>
      </c>
    </row>
    <row r="10" spans="1:4" x14ac:dyDescent="0.25">
      <c r="C10" s="405" t="s">
        <v>368</v>
      </c>
      <c r="D10" s="405" t="s">
        <v>382</v>
      </c>
    </row>
    <row r="11" spans="1:4" x14ac:dyDescent="0.25">
      <c r="C11" s="405" t="s">
        <v>371</v>
      </c>
      <c r="D11" s="405" t="s">
        <v>385</v>
      </c>
    </row>
    <row r="12" spans="1:4" x14ac:dyDescent="0.25">
      <c r="B12" s="405" t="s">
        <v>151</v>
      </c>
      <c r="C12" s="405" t="s">
        <v>160</v>
      </c>
      <c r="D12" s="405" t="s">
        <v>159</v>
      </c>
    </row>
    <row r="13" spans="1:4" x14ac:dyDescent="0.25">
      <c r="C13" s="405" t="s">
        <v>152</v>
      </c>
      <c r="D13" s="405" t="s">
        <v>150</v>
      </c>
    </row>
    <row r="14" spans="1:4" x14ac:dyDescent="0.25">
      <c r="B14" s="405" t="s">
        <v>185</v>
      </c>
      <c r="C14" s="405" t="s">
        <v>202</v>
      </c>
      <c r="D14" s="405" t="s">
        <v>201</v>
      </c>
    </row>
    <row r="15" spans="1:4" x14ac:dyDescent="0.25">
      <c r="C15" s="405" t="s">
        <v>209</v>
      </c>
      <c r="D15" s="405" t="s">
        <v>208</v>
      </c>
    </row>
    <row r="16" spans="1:4" x14ac:dyDescent="0.25">
      <c r="B16" s="405" t="s">
        <v>230</v>
      </c>
      <c r="C16" s="405" t="s">
        <v>907</v>
      </c>
      <c r="D16" s="405" t="s">
        <v>908</v>
      </c>
    </row>
    <row r="17" spans="2:4" x14ac:dyDescent="0.25">
      <c r="C17" s="405" t="s">
        <v>917</v>
      </c>
      <c r="D17" s="405" t="s">
        <v>918</v>
      </c>
    </row>
    <row r="18" spans="2:4" x14ac:dyDescent="0.25">
      <c r="C18" s="405" t="s">
        <v>359</v>
      </c>
      <c r="D18" s="405" t="s">
        <v>773</v>
      </c>
    </row>
    <row r="19" spans="2:4" x14ac:dyDescent="0.25">
      <c r="B19" s="405" t="s">
        <v>288</v>
      </c>
      <c r="C19" s="405" t="s">
        <v>909</v>
      </c>
      <c r="D19" s="405" t="s">
        <v>910</v>
      </c>
    </row>
    <row r="20" spans="2:4" x14ac:dyDescent="0.25">
      <c r="C20" s="405" t="s">
        <v>921</v>
      </c>
      <c r="D20" s="405" t="s">
        <v>914</v>
      </c>
    </row>
    <row r="21" spans="2:4" x14ac:dyDescent="0.25">
      <c r="B21" s="405" t="s">
        <v>301</v>
      </c>
      <c r="C21" s="405" t="s">
        <v>305</v>
      </c>
      <c r="D21" s="405" t="s">
        <v>304</v>
      </c>
    </row>
    <row r="22" spans="2:4" x14ac:dyDescent="0.25">
      <c r="B22" s="405" t="s">
        <v>309</v>
      </c>
      <c r="C22" s="405" t="s">
        <v>351</v>
      </c>
      <c r="D22" s="405" t="s">
        <v>350</v>
      </c>
    </row>
    <row r="23" spans="2:4" x14ac:dyDescent="0.25">
      <c r="B23" s="405" t="s">
        <v>720</v>
      </c>
      <c r="C23" s="405" t="s">
        <v>1078</v>
      </c>
      <c r="D23" s="405" t="s">
        <v>1062</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60" zoomScaleNormal="60" workbookViewId="0">
      <selection activeCell="B5" sqref="B5"/>
    </sheetView>
  </sheetViews>
  <sheetFormatPr defaultColWidth="9.140625" defaultRowHeight="15" x14ac:dyDescent="0.25"/>
  <cols>
    <col min="1" max="1" width="1.7109375" style="219" customWidth="1"/>
    <col min="2" max="2" width="11.28515625" style="219" customWidth="1"/>
    <col min="3" max="3" width="12.7109375" style="219" customWidth="1"/>
    <col min="4" max="4" width="47" style="219" bestFit="1" customWidth="1"/>
    <col min="5" max="5" width="19.140625" style="219" customWidth="1"/>
    <col min="6" max="6" width="18.5703125" style="219" customWidth="1"/>
    <col min="7" max="7" width="12" style="219" customWidth="1"/>
    <col min="8" max="8" width="10.7109375" style="340" customWidth="1"/>
    <col min="9" max="9" width="11.28515625" style="340" customWidth="1"/>
    <col min="10" max="10" width="12.28515625" style="219" customWidth="1"/>
    <col min="11" max="16384" width="9.140625" style="219"/>
  </cols>
  <sheetData>
    <row r="1" spans="2:12" ht="10.9" customHeight="1" x14ac:dyDescent="0.25"/>
    <row r="2" spans="2:12" ht="21.75" customHeight="1" x14ac:dyDescent="0.25">
      <c r="B2" s="331"/>
      <c r="C2" s="207"/>
      <c r="D2" s="207"/>
      <c r="E2" s="207"/>
      <c r="F2" s="207"/>
      <c r="G2" s="207"/>
      <c r="H2" s="207"/>
      <c r="I2" s="207"/>
      <c r="J2" s="207"/>
      <c r="K2" s="208"/>
      <c r="L2" s="217"/>
    </row>
    <row r="3" spans="2:12" ht="28.5" x14ac:dyDescent="0.25">
      <c r="B3" s="332" t="s">
        <v>788</v>
      </c>
      <c r="C3" s="333"/>
      <c r="D3" s="333"/>
      <c r="E3" s="333"/>
      <c r="F3" s="333"/>
      <c r="G3" s="333"/>
      <c r="H3" s="333"/>
      <c r="I3" s="333"/>
      <c r="J3" s="333"/>
      <c r="K3" s="334"/>
      <c r="L3" s="46"/>
    </row>
    <row r="4" spans="2:12" ht="28.5" x14ac:dyDescent="0.25">
      <c r="B4" s="850" t="s">
        <v>1752</v>
      </c>
      <c r="C4" s="851"/>
      <c r="D4" s="336"/>
      <c r="E4" s="336"/>
      <c r="F4" s="336"/>
      <c r="G4" s="336"/>
      <c r="H4" s="336"/>
      <c r="I4" s="336"/>
      <c r="J4" s="336"/>
      <c r="K4" s="337"/>
      <c r="L4" s="335"/>
    </row>
    <row r="5" spans="2:12" ht="17.25" customHeight="1" x14ac:dyDescent="0.25">
      <c r="B5" s="338" t="s">
        <v>458</v>
      </c>
      <c r="C5" s="339" t="s">
        <v>460</v>
      </c>
      <c r="D5" s="335"/>
      <c r="E5" s="335"/>
      <c r="F5" s="335"/>
      <c r="G5" s="335"/>
      <c r="H5" s="335"/>
      <c r="I5" s="335"/>
      <c r="J5" s="335"/>
      <c r="K5" s="47"/>
      <c r="L5" s="335"/>
    </row>
    <row r="6" spans="2:12" x14ac:dyDescent="0.25">
      <c r="B6" s="338" t="s">
        <v>1054</v>
      </c>
      <c r="C6" s="339" t="s">
        <v>1013</v>
      </c>
    </row>
    <row r="7" spans="2:12" ht="6.75" customHeight="1" x14ac:dyDescent="0.25"/>
    <row r="8" spans="2:12" s="387" customFormat="1" ht="30" x14ac:dyDescent="0.25">
      <c r="B8" s="382" t="s">
        <v>392</v>
      </c>
      <c r="C8" s="383" t="s">
        <v>0</v>
      </c>
      <c r="D8" s="383" t="s">
        <v>508</v>
      </c>
      <c r="E8" s="383" t="s">
        <v>835</v>
      </c>
      <c r="F8" s="821" t="s">
        <v>836</v>
      </c>
      <c r="G8" s="384" t="s">
        <v>457</v>
      </c>
      <c r="H8" s="385" t="s">
        <v>1611</v>
      </c>
      <c r="I8" s="776" t="s">
        <v>790</v>
      </c>
      <c r="J8"/>
      <c r="K8"/>
      <c r="L8" s="386"/>
    </row>
    <row r="9" spans="2:12" ht="12.75" customHeight="1" x14ac:dyDescent="0.25">
      <c r="B9" s="341" t="s">
        <v>378</v>
      </c>
      <c r="C9" s="209" t="s">
        <v>5</v>
      </c>
      <c r="D9" s="209" t="s">
        <v>6</v>
      </c>
      <c r="E9" s="209" t="s">
        <v>4</v>
      </c>
      <c r="F9" s="209" t="s">
        <v>942</v>
      </c>
      <c r="G9" s="209" t="s">
        <v>465</v>
      </c>
      <c r="H9" s="342">
        <v>257</v>
      </c>
      <c r="I9" s="343">
        <v>1266</v>
      </c>
      <c r="J9"/>
      <c r="K9"/>
    </row>
    <row r="10" spans="2:12" ht="12.75" customHeight="1" x14ac:dyDescent="0.25">
      <c r="B10" s="341"/>
      <c r="C10" s="209"/>
      <c r="D10" s="209" t="s">
        <v>466</v>
      </c>
      <c r="E10" s="209" t="s">
        <v>375</v>
      </c>
      <c r="F10" s="209" t="s">
        <v>424</v>
      </c>
      <c r="G10" s="209" t="s">
        <v>465</v>
      </c>
      <c r="H10" s="342">
        <v>12</v>
      </c>
      <c r="I10" s="343">
        <v>53</v>
      </c>
      <c r="J10"/>
      <c r="K10"/>
    </row>
    <row r="11" spans="2:12" ht="12.75" customHeight="1" x14ac:dyDescent="0.25">
      <c r="B11" s="341"/>
      <c r="C11" s="209"/>
      <c r="D11" s="209" t="s">
        <v>12</v>
      </c>
      <c r="E11" s="209" t="s">
        <v>11</v>
      </c>
      <c r="F11" s="209" t="s">
        <v>542</v>
      </c>
      <c r="G11" s="209" t="s">
        <v>465</v>
      </c>
      <c r="H11" s="342">
        <v>197</v>
      </c>
      <c r="I11" s="343">
        <v>957</v>
      </c>
      <c r="J11"/>
      <c r="K11"/>
    </row>
    <row r="12" spans="2:12" ht="12.75" customHeight="1" x14ac:dyDescent="0.25">
      <c r="B12" s="341"/>
      <c r="C12" s="209"/>
      <c r="D12" s="209" t="s">
        <v>14</v>
      </c>
      <c r="E12" s="209" t="s">
        <v>13</v>
      </c>
      <c r="F12" s="209" t="s">
        <v>424</v>
      </c>
      <c r="G12" s="209" t="s">
        <v>465</v>
      </c>
      <c r="H12" s="342">
        <v>39</v>
      </c>
      <c r="I12" s="343">
        <v>225</v>
      </c>
      <c r="J12"/>
      <c r="K12"/>
    </row>
    <row r="13" spans="2:12" ht="12.75" customHeight="1" x14ac:dyDescent="0.25">
      <c r="B13" s="341"/>
      <c r="C13" s="209"/>
      <c r="D13" s="406" t="s">
        <v>18</v>
      </c>
      <c r="E13" s="209" t="s">
        <v>17</v>
      </c>
      <c r="F13" s="209" t="s">
        <v>462</v>
      </c>
      <c r="G13" s="209" t="s">
        <v>465</v>
      </c>
      <c r="H13" s="342">
        <v>129</v>
      </c>
      <c r="I13" s="343">
        <v>740</v>
      </c>
      <c r="J13"/>
      <c r="K13"/>
    </row>
    <row r="14" spans="2:12" ht="12.75" customHeight="1" x14ac:dyDescent="0.25">
      <c r="B14" s="341"/>
      <c r="C14" s="209"/>
      <c r="D14" s="406" t="s">
        <v>8</v>
      </c>
      <c r="E14" s="209" t="s">
        <v>7</v>
      </c>
      <c r="F14" s="209" t="s">
        <v>462</v>
      </c>
      <c r="G14" s="209" t="s">
        <v>465</v>
      </c>
      <c r="H14" s="342">
        <v>13</v>
      </c>
      <c r="I14" s="343">
        <v>58</v>
      </c>
      <c r="J14"/>
      <c r="K14"/>
    </row>
    <row r="15" spans="2:12" ht="12.75" customHeight="1" x14ac:dyDescent="0.25">
      <c r="B15" s="341"/>
      <c r="C15" s="209"/>
      <c r="D15" s="406" t="s">
        <v>20</v>
      </c>
      <c r="E15" s="209" t="s">
        <v>19</v>
      </c>
      <c r="F15" s="209" t="s">
        <v>942</v>
      </c>
      <c r="G15" s="209" t="s">
        <v>465</v>
      </c>
      <c r="H15" s="342">
        <v>21</v>
      </c>
      <c r="I15" s="343">
        <v>113</v>
      </c>
      <c r="J15"/>
      <c r="K15"/>
    </row>
    <row r="16" spans="2:12" ht="12.75" customHeight="1" x14ac:dyDescent="0.25">
      <c r="B16" s="341"/>
      <c r="C16" s="209"/>
      <c r="D16" s="406" t="s">
        <v>364</v>
      </c>
      <c r="E16" s="209" t="s">
        <v>374</v>
      </c>
      <c r="F16" s="209" t="s">
        <v>424</v>
      </c>
      <c r="G16" s="209" t="s">
        <v>465</v>
      </c>
      <c r="H16" s="342">
        <v>144</v>
      </c>
      <c r="I16" s="343">
        <v>754</v>
      </c>
      <c r="J16"/>
      <c r="K16"/>
    </row>
    <row r="17" spans="2:11" ht="12.75" customHeight="1" x14ac:dyDescent="0.25">
      <c r="B17" s="341"/>
      <c r="C17" s="209"/>
      <c r="D17" s="406" t="s">
        <v>22</v>
      </c>
      <c r="E17" s="209" t="s">
        <v>21</v>
      </c>
      <c r="F17" s="209" t="s">
        <v>424</v>
      </c>
      <c r="G17" s="209" t="s">
        <v>465</v>
      </c>
      <c r="H17" s="342">
        <v>638</v>
      </c>
      <c r="I17" s="343">
        <v>3971</v>
      </c>
      <c r="J17"/>
      <c r="K17"/>
    </row>
    <row r="18" spans="2:11" ht="12.75" customHeight="1" x14ac:dyDescent="0.25">
      <c r="B18" s="341"/>
      <c r="C18" s="209"/>
      <c r="D18" s="406" t="s">
        <v>24</v>
      </c>
      <c r="E18" s="209" t="s">
        <v>23</v>
      </c>
      <c r="F18" s="209" t="s">
        <v>462</v>
      </c>
      <c r="G18" s="209" t="s">
        <v>465</v>
      </c>
      <c r="H18" s="342">
        <v>20</v>
      </c>
      <c r="I18" s="343">
        <v>95</v>
      </c>
      <c r="J18"/>
      <c r="K18"/>
    </row>
    <row r="19" spans="2:11" ht="12.75" customHeight="1" x14ac:dyDescent="0.25">
      <c r="B19" s="341"/>
      <c r="C19" s="209"/>
      <c r="D19" s="209" t="s">
        <v>26</v>
      </c>
      <c r="E19" s="209" t="s">
        <v>25</v>
      </c>
      <c r="F19" s="209" t="s">
        <v>462</v>
      </c>
      <c r="G19" s="209" t="s">
        <v>465</v>
      </c>
      <c r="H19" s="342">
        <v>14</v>
      </c>
      <c r="I19" s="343">
        <v>74</v>
      </c>
      <c r="J19"/>
      <c r="K19"/>
    </row>
    <row r="20" spans="2:11" ht="12.75" customHeight="1" x14ac:dyDescent="0.25">
      <c r="B20" s="341"/>
      <c r="C20" s="209" t="s">
        <v>997</v>
      </c>
      <c r="D20" s="209"/>
      <c r="E20" s="209"/>
      <c r="F20" s="209"/>
      <c r="G20" s="209"/>
      <c r="H20" s="342">
        <v>1484</v>
      </c>
      <c r="I20" s="343">
        <v>8306</v>
      </c>
      <c r="J20"/>
      <c r="K20"/>
    </row>
    <row r="21" spans="2:11" ht="12.75" customHeight="1" x14ac:dyDescent="0.25">
      <c r="B21" s="341"/>
      <c r="C21" s="209" t="s">
        <v>27</v>
      </c>
      <c r="D21" s="209" t="s">
        <v>28</v>
      </c>
      <c r="E21" s="209" t="s">
        <v>30</v>
      </c>
      <c r="F21" s="209" t="s">
        <v>462</v>
      </c>
      <c r="G21" s="209" t="s">
        <v>465</v>
      </c>
      <c r="H21" s="342">
        <v>108</v>
      </c>
      <c r="I21" s="343">
        <v>516</v>
      </c>
      <c r="J21"/>
      <c r="K21"/>
    </row>
    <row r="22" spans="2:11" ht="12.75" customHeight="1" x14ac:dyDescent="0.25">
      <c r="B22" s="341"/>
      <c r="C22" s="209"/>
      <c r="D22" s="209" t="s">
        <v>362</v>
      </c>
      <c r="E22" s="209" t="s">
        <v>29</v>
      </c>
      <c r="F22" s="209" t="s">
        <v>424</v>
      </c>
      <c r="G22" s="209" t="s">
        <v>467</v>
      </c>
      <c r="H22" s="342">
        <v>158</v>
      </c>
      <c r="I22" s="343">
        <v>981</v>
      </c>
      <c r="J22"/>
      <c r="K22"/>
    </row>
    <row r="23" spans="2:11" ht="12.75" customHeight="1" x14ac:dyDescent="0.25">
      <c r="B23" s="341"/>
      <c r="C23" s="209"/>
      <c r="D23" s="209" t="s">
        <v>363</v>
      </c>
      <c r="E23" s="209" t="s">
        <v>376</v>
      </c>
      <c r="F23" s="209" t="s">
        <v>462</v>
      </c>
      <c r="G23" s="209" t="s">
        <v>465</v>
      </c>
      <c r="H23" s="342">
        <v>144</v>
      </c>
      <c r="I23" s="343">
        <v>630</v>
      </c>
      <c r="J23"/>
      <c r="K23"/>
    </row>
    <row r="24" spans="2:11" ht="12.75" customHeight="1" x14ac:dyDescent="0.25">
      <c r="B24" s="341"/>
      <c r="C24" s="209"/>
      <c r="D24" s="209" t="s">
        <v>792</v>
      </c>
      <c r="E24" s="209" t="s">
        <v>791</v>
      </c>
      <c r="F24" s="209" t="s">
        <v>943</v>
      </c>
      <c r="G24" s="209" t="s">
        <v>465</v>
      </c>
      <c r="H24" s="342">
        <v>57</v>
      </c>
      <c r="I24" s="343">
        <v>269</v>
      </c>
      <c r="J24"/>
      <c r="K24"/>
    </row>
    <row r="25" spans="2:11" ht="12.75" customHeight="1" x14ac:dyDescent="0.25">
      <c r="B25" s="341"/>
      <c r="C25" s="209"/>
      <c r="D25" s="209" t="s">
        <v>879</v>
      </c>
      <c r="E25" s="209" t="s">
        <v>880</v>
      </c>
      <c r="F25" s="209" t="s">
        <v>943</v>
      </c>
      <c r="G25" s="209" t="s">
        <v>465</v>
      </c>
      <c r="H25" s="342">
        <v>30</v>
      </c>
      <c r="I25" s="343">
        <v>173</v>
      </c>
      <c r="J25"/>
      <c r="K25"/>
    </row>
    <row r="26" spans="2:11" ht="12.75" customHeight="1" x14ac:dyDescent="0.25">
      <c r="B26" s="341"/>
      <c r="C26" s="209" t="s">
        <v>961</v>
      </c>
      <c r="D26" s="209"/>
      <c r="E26" s="209"/>
      <c r="F26" s="209"/>
      <c r="G26" s="209"/>
      <c r="H26" s="342">
        <v>497</v>
      </c>
      <c r="I26" s="343">
        <v>2569</v>
      </c>
      <c r="J26"/>
      <c r="K26"/>
    </row>
    <row r="27" spans="2:11" ht="12.75" customHeight="1" x14ac:dyDescent="0.25">
      <c r="B27" s="341"/>
      <c r="C27" s="209" t="s">
        <v>481</v>
      </c>
      <c r="D27" s="209" t="s">
        <v>120</v>
      </c>
      <c r="E27" s="209" t="s">
        <v>119</v>
      </c>
      <c r="F27" s="209" t="s">
        <v>943</v>
      </c>
      <c r="G27" s="209" t="s">
        <v>465</v>
      </c>
      <c r="H27" s="342">
        <v>70</v>
      </c>
      <c r="I27" s="343">
        <v>350</v>
      </c>
      <c r="J27"/>
      <c r="K27"/>
    </row>
    <row r="28" spans="2:11" ht="12.75" customHeight="1" x14ac:dyDescent="0.25">
      <c r="B28" s="341"/>
      <c r="C28" s="209"/>
      <c r="D28" s="209" t="s">
        <v>41</v>
      </c>
      <c r="E28" s="209" t="s">
        <v>40</v>
      </c>
      <c r="F28" s="209" t="s">
        <v>462</v>
      </c>
      <c r="G28" s="209" t="s">
        <v>465</v>
      </c>
      <c r="H28" s="342">
        <v>65</v>
      </c>
      <c r="I28" s="343">
        <v>350</v>
      </c>
      <c r="J28"/>
      <c r="K28"/>
    </row>
    <row r="29" spans="2:11" ht="12.75" customHeight="1" x14ac:dyDescent="0.25">
      <c r="B29" s="341"/>
      <c r="C29" s="209"/>
      <c r="D29" s="209" t="s">
        <v>43</v>
      </c>
      <c r="E29" s="209" t="s">
        <v>42</v>
      </c>
      <c r="F29" s="209" t="s">
        <v>462</v>
      </c>
      <c r="G29" s="209" t="s">
        <v>465</v>
      </c>
      <c r="H29" s="342">
        <v>14</v>
      </c>
      <c r="I29" s="343">
        <v>81</v>
      </c>
      <c r="J29"/>
      <c r="K29"/>
    </row>
    <row r="30" spans="2:11" ht="12.75" customHeight="1" x14ac:dyDescent="0.25">
      <c r="B30" s="341"/>
      <c r="C30" s="209"/>
      <c r="D30" s="209" t="s">
        <v>52</v>
      </c>
      <c r="E30" s="209" t="s">
        <v>51</v>
      </c>
      <c r="F30" s="209" t="s">
        <v>424</v>
      </c>
      <c r="G30" s="209" t="s">
        <v>465</v>
      </c>
      <c r="H30" s="342">
        <v>37</v>
      </c>
      <c r="I30" s="343">
        <v>228</v>
      </c>
      <c r="J30"/>
      <c r="K30"/>
    </row>
    <row r="31" spans="2:11" ht="12.75" customHeight="1" x14ac:dyDescent="0.25">
      <c r="B31" s="341"/>
      <c r="C31" s="209"/>
      <c r="D31" s="209" t="s">
        <v>72</v>
      </c>
      <c r="E31" s="209" t="s">
        <v>71</v>
      </c>
      <c r="F31" s="209" t="s">
        <v>462</v>
      </c>
      <c r="G31" s="209" t="s">
        <v>465</v>
      </c>
      <c r="H31" s="342">
        <v>5</v>
      </c>
      <c r="I31" s="343">
        <v>26</v>
      </c>
      <c r="J31"/>
      <c r="K31"/>
    </row>
    <row r="32" spans="2:11" ht="12.75" customHeight="1" x14ac:dyDescent="0.25">
      <c r="B32" s="341"/>
      <c r="C32" s="209"/>
      <c r="D32" s="209" t="s">
        <v>76</v>
      </c>
      <c r="E32" s="209" t="s">
        <v>75</v>
      </c>
      <c r="F32" s="209" t="s">
        <v>462</v>
      </c>
      <c r="G32" s="209" t="s">
        <v>465</v>
      </c>
      <c r="H32" s="342">
        <v>70</v>
      </c>
      <c r="I32" s="343">
        <v>376</v>
      </c>
      <c r="J32"/>
      <c r="K32"/>
    </row>
    <row r="33" spans="2:11" ht="12.75" customHeight="1" x14ac:dyDescent="0.25">
      <c r="B33" s="341"/>
      <c r="C33" s="209"/>
      <c r="D33" s="209" t="s">
        <v>88</v>
      </c>
      <c r="E33" s="209" t="s">
        <v>87</v>
      </c>
      <c r="F33" s="209" t="s">
        <v>424</v>
      </c>
      <c r="G33" s="209" t="s">
        <v>465</v>
      </c>
      <c r="H33" s="342">
        <v>13</v>
      </c>
      <c r="I33" s="343">
        <v>46</v>
      </c>
      <c r="J33"/>
      <c r="K33"/>
    </row>
    <row r="34" spans="2:11" ht="12.75" customHeight="1" x14ac:dyDescent="0.25">
      <c r="B34" s="341"/>
      <c r="C34" s="209"/>
      <c r="D34" s="209" t="s">
        <v>44</v>
      </c>
      <c r="E34" s="209" t="s">
        <v>45</v>
      </c>
      <c r="F34" s="209" t="s">
        <v>462</v>
      </c>
      <c r="G34" s="209" t="s">
        <v>465</v>
      </c>
      <c r="H34" s="342">
        <v>4</v>
      </c>
      <c r="I34" s="343">
        <v>27</v>
      </c>
      <c r="J34"/>
      <c r="K34"/>
    </row>
    <row r="35" spans="2:11" ht="12.75" customHeight="1" x14ac:dyDescent="0.25">
      <c r="B35" s="341"/>
      <c r="C35" s="209"/>
      <c r="D35" s="209" t="s">
        <v>90</v>
      </c>
      <c r="E35" s="209" t="s">
        <v>89</v>
      </c>
      <c r="F35" s="209" t="s">
        <v>462</v>
      </c>
      <c r="G35" s="209" t="s">
        <v>465</v>
      </c>
      <c r="H35" s="342">
        <v>19</v>
      </c>
      <c r="I35" s="343">
        <v>100</v>
      </c>
      <c r="J35"/>
      <c r="K35"/>
    </row>
    <row r="36" spans="2:11" ht="12.75" customHeight="1" x14ac:dyDescent="0.25">
      <c r="B36" s="341"/>
      <c r="C36" s="209"/>
      <c r="D36" s="209" t="s">
        <v>92</v>
      </c>
      <c r="E36" s="209" t="s">
        <v>91</v>
      </c>
      <c r="F36" s="209" t="s">
        <v>462</v>
      </c>
      <c r="G36" s="209" t="s">
        <v>465</v>
      </c>
      <c r="H36" s="342">
        <v>12</v>
      </c>
      <c r="I36" s="343">
        <v>62</v>
      </c>
      <c r="J36"/>
      <c r="K36"/>
    </row>
    <row r="37" spans="2:11" ht="12.75" customHeight="1" x14ac:dyDescent="0.25">
      <c r="B37" s="341"/>
      <c r="C37" s="209"/>
      <c r="D37" s="209" t="s">
        <v>100</v>
      </c>
      <c r="E37" s="209" t="s">
        <v>99</v>
      </c>
      <c r="F37" s="209" t="s">
        <v>462</v>
      </c>
      <c r="G37" s="209" t="s">
        <v>465</v>
      </c>
      <c r="H37" s="342">
        <v>8</v>
      </c>
      <c r="I37" s="343">
        <v>15</v>
      </c>
      <c r="J37"/>
      <c r="K37"/>
    </row>
    <row r="38" spans="2:11" ht="12.75" customHeight="1" x14ac:dyDescent="0.25">
      <c r="B38" s="341"/>
      <c r="C38" s="209"/>
      <c r="D38" s="209" t="s">
        <v>552</v>
      </c>
      <c r="E38" s="209" t="s">
        <v>46</v>
      </c>
      <c r="F38" s="209" t="s">
        <v>462</v>
      </c>
      <c r="G38" s="209" t="s">
        <v>465</v>
      </c>
      <c r="H38" s="342">
        <v>11</v>
      </c>
      <c r="I38" s="343">
        <v>45</v>
      </c>
      <c r="J38"/>
      <c r="K38"/>
    </row>
    <row r="39" spans="2:11" ht="12.75" customHeight="1" x14ac:dyDescent="0.25">
      <c r="B39" s="341"/>
      <c r="C39" s="209"/>
      <c r="D39" s="209" t="s">
        <v>108</v>
      </c>
      <c r="E39" s="209" t="s">
        <v>107</v>
      </c>
      <c r="F39" s="209" t="s">
        <v>943</v>
      </c>
      <c r="G39" s="209" t="s">
        <v>465</v>
      </c>
      <c r="H39" s="342">
        <v>53</v>
      </c>
      <c r="I39" s="343">
        <v>277</v>
      </c>
      <c r="J39"/>
      <c r="K39"/>
    </row>
    <row r="40" spans="2:11" ht="12.75" customHeight="1" x14ac:dyDescent="0.25">
      <c r="B40" s="341"/>
      <c r="C40" s="209"/>
      <c r="D40" s="209" t="s">
        <v>118</v>
      </c>
      <c r="E40" s="209" t="s">
        <v>117</v>
      </c>
      <c r="F40" s="209" t="s">
        <v>462</v>
      </c>
      <c r="G40" s="209" t="s">
        <v>465</v>
      </c>
      <c r="H40" s="342">
        <v>11</v>
      </c>
      <c r="I40" s="343">
        <v>36</v>
      </c>
      <c r="J40"/>
      <c r="K40"/>
    </row>
    <row r="41" spans="2:11" ht="12.75" customHeight="1" x14ac:dyDescent="0.25">
      <c r="B41" s="341"/>
      <c r="C41" s="209"/>
      <c r="D41" s="209" t="s">
        <v>124</v>
      </c>
      <c r="E41" s="209" t="s">
        <v>123</v>
      </c>
      <c r="F41" s="209" t="s">
        <v>424</v>
      </c>
      <c r="G41" s="209" t="s">
        <v>465</v>
      </c>
      <c r="H41" s="342">
        <v>8</v>
      </c>
      <c r="I41" s="343">
        <v>32</v>
      </c>
      <c r="J41"/>
      <c r="K41"/>
    </row>
    <row r="42" spans="2:11" ht="12.75" customHeight="1" x14ac:dyDescent="0.25">
      <c r="B42" s="341"/>
      <c r="C42" s="209"/>
      <c r="D42" s="209" t="s">
        <v>126</v>
      </c>
      <c r="E42" s="209" t="s">
        <v>125</v>
      </c>
      <c r="F42" s="209" t="s">
        <v>424</v>
      </c>
      <c r="G42" s="209" t="s">
        <v>465</v>
      </c>
      <c r="H42" s="342">
        <v>32</v>
      </c>
      <c r="I42" s="343">
        <v>171</v>
      </c>
      <c r="J42"/>
      <c r="K42"/>
    </row>
    <row r="43" spans="2:11" ht="12.75" customHeight="1" x14ac:dyDescent="0.25">
      <c r="B43" s="341"/>
      <c r="C43" s="209"/>
      <c r="D43" s="209" t="s">
        <v>140</v>
      </c>
      <c r="E43" s="209" t="s">
        <v>139</v>
      </c>
      <c r="F43" s="209" t="s">
        <v>424</v>
      </c>
      <c r="G43" s="209" t="s">
        <v>465</v>
      </c>
      <c r="H43" s="342">
        <v>11</v>
      </c>
      <c r="I43" s="343">
        <v>48</v>
      </c>
      <c r="J43"/>
      <c r="K43"/>
    </row>
    <row r="44" spans="2:11" ht="12.75" customHeight="1" x14ac:dyDescent="0.25">
      <c r="B44" s="341"/>
      <c r="C44" s="209"/>
      <c r="D44" s="209" t="s">
        <v>919</v>
      </c>
      <c r="E44" s="209" t="s">
        <v>920</v>
      </c>
      <c r="F44" s="209" t="s">
        <v>424</v>
      </c>
      <c r="G44" s="209" t="s">
        <v>465</v>
      </c>
      <c r="H44" s="342">
        <v>103</v>
      </c>
      <c r="I44" s="343">
        <v>498</v>
      </c>
      <c r="J44"/>
      <c r="K44"/>
    </row>
    <row r="45" spans="2:11" ht="12.75" customHeight="1" x14ac:dyDescent="0.25">
      <c r="B45" s="341"/>
      <c r="C45" s="209"/>
      <c r="D45" s="209" t="s">
        <v>1188</v>
      </c>
      <c r="E45" s="209" t="s">
        <v>1191</v>
      </c>
      <c r="F45" s="209" t="s">
        <v>424</v>
      </c>
      <c r="G45" s="209" t="s">
        <v>465</v>
      </c>
      <c r="H45" s="342">
        <v>28</v>
      </c>
      <c r="I45" s="343">
        <v>111</v>
      </c>
      <c r="J45"/>
      <c r="K45"/>
    </row>
    <row r="46" spans="2:11" ht="12.75" customHeight="1" x14ac:dyDescent="0.25">
      <c r="B46" s="341"/>
      <c r="C46" s="209"/>
      <c r="D46" s="209" t="s">
        <v>1187</v>
      </c>
      <c r="E46" s="209" t="s">
        <v>1193</v>
      </c>
      <c r="F46" s="209" t="s">
        <v>943</v>
      </c>
      <c r="G46" s="209" t="s">
        <v>465</v>
      </c>
      <c r="H46" s="342">
        <v>6</v>
      </c>
      <c r="I46" s="343">
        <v>15</v>
      </c>
      <c r="J46"/>
      <c r="K46"/>
    </row>
    <row r="47" spans="2:11" ht="12.75" customHeight="1" x14ac:dyDescent="0.25">
      <c r="B47" s="341"/>
      <c r="C47" s="209"/>
      <c r="D47" s="209" t="s">
        <v>1186</v>
      </c>
      <c r="E47" s="209" t="s">
        <v>1194</v>
      </c>
      <c r="F47" s="209" t="s">
        <v>943</v>
      </c>
      <c r="G47" s="209" t="s">
        <v>465</v>
      </c>
      <c r="H47" s="342">
        <v>18</v>
      </c>
      <c r="I47" s="343">
        <v>78</v>
      </c>
      <c r="J47"/>
      <c r="K47"/>
    </row>
    <row r="48" spans="2:11" ht="12.75" customHeight="1" x14ac:dyDescent="0.25">
      <c r="B48" s="341"/>
      <c r="C48" s="209"/>
      <c r="D48" s="209" t="s">
        <v>1426</v>
      </c>
      <c r="E48" s="209" t="s">
        <v>1415</v>
      </c>
      <c r="F48" s="209" t="s">
        <v>424</v>
      </c>
      <c r="G48" s="209" t="s">
        <v>465</v>
      </c>
      <c r="H48" s="342">
        <v>118</v>
      </c>
      <c r="I48" s="343">
        <v>618</v>
      </c>
      <c r="J48"/>
      <c r="K48"/>
    </row>
    <row r="49" spans="2:11" ht="12.75" customHeight="1" x14ac:dyDescent="0.25">
      <c r="B49" s="341"/>
      <c r="C49" s="209" t="s">
        <v>998</v>
      </c>
      <c r="D49" s="209"/>
      <c r="E49" s="209"/>
      <c r="F49" s="209"/>
      <c r="G49" s="209"/>
      <c r="H49" s="342">
        <v>716</v>
      </c>
      <c r="I49" s="343">
        <v>3590</v>
      </c>
      <c r="J49"/>
      <c r="K49"/>
    </row>
    <row r="50" spans="2:11" ht="12.75" customHeight="1" x14ac:dyDescent="0.25">
      <c r="B50" s="341"/>
      <c r="C50" s="209" t="s">
        <v>151</v>
      </c>
      <c r="D50" s="209" t="s">
        <v>188</v>
      </c>
      <c r="E50" s="209" t="s">
        <v>187</v>
      </c>
      <c r="F50" s="209" t="s">
        <v>942</v>
      </c>
      <c r="G50" s="209" t="s">
        <v>467</v>
      </c>
      <c r="H50" s="342">
        <v>386</v>
      </c>
      <c r="I50" s="343">
        <v>1902</v>
      </c>
      <c r="J50"/>
      <c r="K50"/>
    </row>
    <row r="51" spans="2:11" ht="12.75" customHeight="1" x14ac:dyDescent="0.25">
      <c r="B51" s="341"/>
      <c r="C51" s="209"/>
      <c r="D51" s="209" t="s">
        <v>12</v>
      </c>
      <c r="E51" s="209" t="s">
        <v>388</v>
      </c>
      <c r="F51" s="209" t="s">
        <v>542</v>
      </c>
      <c r="G51" s="209" t="s">
        <v>465</v>
      </c>
      <c r="H51" s="342">
        <v>73</v>
      </c>
      <c r="I51" s="343">
        <v>274</v>
      </c>
      <c r="J51"/>
      <c r="K51"/>
    </row>
    <row r="52" spans="2:11" ht="12.75" customHeight="1" x14ac:dyDescent="0.25">
      <c r="B52" s="341"/>
      <c r="C52" s="209"/>
      <c r="D52" s="209" t="s">
        <v>198</v>
      </c>
      <c r="E52" s="209" t="s">
        <v>197</v>
      </c>
      <c r="F52" s="209" t="s">
        <v>942</v>
      </c>
      <c r="G52" s="209" t="s">
        <v>467</v>
      </c>
      <c r="H52" s="342">
        <v>548</v>
      </c>
      <c r="I52" s="343">
        <v>2482</v>
      </c>
      <c r="J52"/>
      <c r="K52"/>
    </row>
    <row r="53" spans="2:11" ht="12.75" customHeight="1" x14ac:dyDescent="0.25">
      <c r="B53" s="341"/>
      <c r="C53" s="209"/>
      <c r="D53" s="209" t="s">
        <v>813</v>
      </c>
      <c r="E53" s="209" t="s">
        <v>814</v>
      </c>
      <c r="F53" s="209" t="s">
        <v>424</v>
      </c>
      <c r="G53" s="209" t="s">
        <v>465</v>
      </c>
      <c r="H53" s="342">
        <v>405</v>
      </c>
      <c r="I53" s="343">
        <v>1855</v>
      </c>
      <c r="J53"/>
      <c r="K53"/>
    </row>
    <row r="54" spans="2:11" ht="12.75" customHeight="1" x14ac:dyDescent="0.25">
      <c r="B54" s="341"/>
      <c r="C54" s="209"/>
      <c r="D54" s="209" t="s">
        <v>160</v>
      </c>
      <c r="E54" s="209" t="s">
        <v>159</v>
      </c>
      <c r="F54" s="209" t="s">
        <v>424</v>
      </c>
      <c r="G54" s="209" t="s">
        <v>465</v>
      </c>
      <c r="H54" s="342">
        <v>109</v>
      </c>
      <c r="I54" s="343">
        <v>579</v>
      </c>
      <c r="J54"/>
      <c r="K54"/>
    </row>
    <row r="55" spans="2:11" ht="12.75" customHeight="1" x14ac:dyDescent="0.25">
      <c r="B55" s="341"/>
      <c r="C55" s="209"/>
      <c r="D55" s="209" t="s">
        <v>154</v>
      </c>
      <c r="E55" s="209" t="s">
        <v>153</v>
      </c>
      <c r="F55" s="209" t="s">
        <v>942</v>
      </c>
      <c r="G55" s="209" t="s">
        <v>465</v>
      </c>
      <c r="H55" s="342">
        <v>441</v>
      </c>
      <c r="I55" s="343">
        <v>2241</v>
      </c>
      <c r="J55"/>
      <c r="K55"/>
    </row>
    <row r="56" spans="2:11" ht="12.75" customHeight="1" x14ac:dyDescent="0.25">
      <c r="B56" s="341"/>
      <c r="C56" s="209"/>
      <c r="D56" s="209" t="s">
        <v>156</v>
      </c>
      <c r="E56" s="209" t="s">
        <v>155</v>
      </c>
      <c r="F56" s="209" t="s">
        <v>542</v>
      </c>
      <c r="G56" s="209" t="s">
        <v>465</v>
      </c>
      <c r="H56" s="342">
        <v>175</v>
      </c>
      <c r="I56" s="343">
        <v>834</v>
      </c>
      <c r="J56"/>
      <c r="K56"/>
    </row>
    <row r="57" spans="2:11" ht="12.75" customHeight="1" x14ac:dyDescent="0.25">
      <c r="B57" s="341"/>
      <c r="C57" s="209"/>
      <c r="D57" s="209" t="s">
        <v>152</v>
      </c>
      <c r="E57" s="209" t="s">
        <v>150</v>
      </c>
      <c r="F57" s="209" t="s">
        <v>424</v>
      </c>
      <c r="G57" s="209" t="s">
        <v>465</v>
      </c>
      <c r="H57" s="342">
        <v>187</v>
      </c>
      <c r="I57" s="343">
        <v>838</v>
      </c>
      <c r="J57"/>
      <c r="K57"/>
    </row>
    <row r="58" spans="2:11" ht="12.75" customHeight="1" x14ac:dyDescent="0.25">
      <c r="B58" s="341"/>
      <c r="C58" s="209"/>
      <c r="D58" s="209" t="s">
        <v>851</v>
      </c>
      <c r="E58" s="209" t="s">
        <v>850</v>
      </c>
      <c r="F58" s="209" t="s">
        <v>942</v>
      </c>
      <c r="G58" s="209" t="s">
        <v>465</v>
      </c>
      <c r="H58" s="342">
        <v>173</v>
      </c>
      <c r="I58" s="343">
        <v>780</v>
      </c>
      <c r="J58"/>
      <c r="K58"/>
    </row>
    <row r="59" spans="2:11" ht="12.75" customHeight="1" x14ac:dyDescent="0.25">
      <c r="B59" s="341"/>
      <c r="C59" s="209"/>
      <c r="D59" s="209" t="s">
        <v>915</v>
      </c>
      <c r="E59" s="209" t="s">
        <v>916</v>
      </c>
      <c r="F59" s="209" t="s">
        <v>942</v>
      </c>
      <c r="G59" s="209" t="s">
        <v>465</v>
      </c>
      <c r="H59" s="342">
        <v>143</v>
      </c>
      <c r="I59" s="343">
        <v>638</v>
      </c>
      <c r="J59"/>
      <c r="K59"/>
    </row>
    <row r="60" spans="2:11" ht="12.75" customHeight="1" x14ac:dyDescent="0.25">
      <c r="B60" s="341"/>
      <c r="C60" s="209"/>
      <c r="D60" s="209" t="s">
        <v>946</v>
      </c>
      <c r="E60" s="209" t="s">
        <v>947</v>
      </c>
      <c r="F60" s="209" t="s">
        <v>424</v>
      </c>
      <c r="G60" s="209" t="s">
        <v>465</v>
      </c>
      <c r="H60" s="342">
        <v>115</v>
      </c>
      <c r="I60" s="343">
        <v>538</v>
      </c>
      <c r="J60"/>
      <c r="K60"/>
    </row>
    <row r="61" spans="2:11" ht="12.75" customHeight="1" x14ac:dyDescent="0.25">
      <c r="B61" s="341"/>
      <c r="C61" s="209" t="s">
        <v>999</v>
      </c>
      <c r="D61" s="209"/>
      <c r="E61" s="209"/>
      <c r="F61" s="209"/>
      <c r="G61" s="209"/>
      <c r="H61" s="342">
        <v>2755</v>
      </c>
      <c r="I61" s="343">
        <v>12961</v>
      </c>
      <c r="J61"/>
      <c r="K61"/>
    </row>
    <row r="62" spans="2:11" ht="12.75" customHeight="1" x14ac:dyDescent="0.25">
      <c r="B62" s="341"/>
      <c r="C62" s="209" t="s">
        <v>173</v>
      </c>
      <c r="D62" s="209" t="s">
        <v>174</v>
      </c>
      <c r="E62" s="209" t="s">
        <v>172</v>
      </c>
      <c r="F62" s="209" t="s">
        <v>424</v>
      </c>
      <c r="G62" s="209" t="s">
        <v>465</v>
      </c>
      <c r="H62" s="342">
        <v>13</v>
      </c>
      <c r="I62" s="343">
        <v>66</v>
      </c>
      <c r="J62"/>
      <c r="K62"/>
    </row>
    <row r="63" spans="2:11" ht="12.75" customHeight="1" x14ac:dyDescent="0.25">
      <c r="B63" s="341"/>
      <c r="C63" s="209"/>
      <c r="D63" s="209" t="s">
        <v>178</v>
      </c>
      <c r="E63" s="209" t="s">
        <v>177</v>
      </c>
      <c r="F63" s="209" t="s">
        <v>424</v>
      </c>
      <c r="G63" s="209" t="s">
        <v>465</v>
      </c>
      <c r="H63" s="342">
        <v>11</v>
      </c>
      <c r="I63" s="343">
        <v>40</v>
      </c>
      <c r="J63"/>
      <c r="K63"/>
    </row>
    <row r="64" spans="2:11" ht="12.75" customHeight="1" x14ac:dyDescent="0.25">
      <c r="B64" s="341"/>
      <c r="C64" s="209"/>
      <c r="D64" s="209" t="s">
        <v>1080</v>
      </c>
      <c r="E64" s="209" t="s">
        <v>1074</v>
      </c>
      <c r="F64" s="209" t="s">
        <v>424</v>
      </c>
      <c r="G64" s="209" t="s">
        <v>465</v>
      </c>
      <c r="H64" s="342">
        <v>28</v>
      </c>
      <c r="I64" s="343">
        <v>133</v>
      </c>
      <c r="J64"/>
      <c r="K64"/>
    </row>
    <row r="65" spans="2:11" ht="12.75" customHeight="1" x14ac:dyDescent="0.25">
      <c r="B65" s="341"/>
      <c r="C65" s="209"/>
      <c r="D65" s="209" t="s">
        <v>1072</v>
      </c>
      <c r="E65" s="209" t="s">
        <v>1075</v>
      </c>
      <c r="F65" s="209" t="s">
        <v>542</v>
      </c>
      <c r="G65" s="209" t="s">
        <v>465</v>
      </c>
      <c r="H65" s="342">
        <v>7</v>
      </c>
      <c r="I65" s="343">
        <v>31</v>
      </c>
      <c r="J65"/>
      <c r="K65"/>
    </row>
    <row r="66" spans="2:11" ht="12.75" customHeight="1" x14ac:dyDescent="0.25">
      <c r="B66" s="341"/>
      <c r="C66" s="209"/>
      <c r="D66" s="209" t="s">
        <v>1696</v>
      </c>
      <c r="E66" s="209" t="s">
        <v>175</v>
      </c>
      <c r="F66" s="209" t="s">
        <v>424</v>
      </c>
      <c r="G66" s="209" t="s">
        <v>465</v>
      </c>
      <c r="H66" s="342">
        <v>16</v>
      </c>
      <c r="I66" s="343">
        <v>79</v>
      </c>
      <c r="J66"/>
      <c r="K66"/>
    </row>
    <row r="67" spans="2:11" ht="12.75" customHeight="1" x14ac:dyDescent="0.25">
      <c r="B67" s="341"/>
      <c r="C67" s="209" t="s">
        <v>1106</v>
      </c>
      <c r="D67" s="209"/>
      <c r="E67" s="209"/>
      <c r="F67" s="209"/>
      <c r="G67" s="209"/>
      <c r="H67" s="342">
        <v>75</v>
      </c>
      <c r="I67" s="343">
        <v>349</v>
      </c>
      <c r="J67"/>
      <c r="K67"/>
    </row>
    <row r="68" spans="2:11" ht="12.75" customHeight="1" x14ac:dyDescent="0.25">
      <c r="B68" s="341"/>
      <c r="C68" s="209" t="s">
        <v>180</v>
      </c>
      <c r="D68" s="209" t="s">
        <v>286</v>
      </c>
      <c r="E68" s="209" t="s">
        <v>285</v>
      </c>
      <c r="F68" s="209" t="s">
        <v>424</v>
      </c>
      <c r="G68" s="209" t="s">
        <v>465</v>
      </c>
      <c r="H68" s="342">
        <v>24</v>
      </c>
      <c r="I68" s="343">
        <v>115</v>
      </c>
      <c r="J68"/>
      <c r="K68"/>
    </row>
    <row r="69" spans="2:11" ht="12.75" customHeight="1" x14ac:dyDescent="0.25">
      <c r="B69" s="341"/>
      <c r="C69" s="209"/>
      <c r="D69" s="209" t="s">
        <v>181</v>
      </c>
      <c r="E69" s="209" t="s">
        <v>179</v>
      </c>
      <c r="F69" s="209" t="s">
        <v>943</v>
      </c>
      <c r="G69" s="209" t="s">
        <v>465</v>
      </c>
      <c r="H69" s="342">
        <v>11</v>
      </c>
      <c r="I69" s="343">
        <v>51</v>
      </c>
      <c r="J69"/>
      <c r="K69"/>
    </row>
    <row r="70" spans="2:11" ht="12.75" customHeight="1" x14ac:dyDescent="0.25">
      <c r="B70" s="341"/>
      <c r="C70" s="209"/>
      <c r="D70" s="209" t="s">
        <v>993</v>
      </c>
      <c r="E70" s="209" t="s">
        <v>995</v>
      </c>
      <c r="F70" s="209" t="s">
        <v>542</v>
      </c>
      <c r="G70" s="209" t="s">
        <v>465</v>
      </c>
      <c r="H70" s="342">
        <v>27</v>
      </c>
      <c r="I70" s="343">
        <v>121</v>
      </c>
      <c r="J70"/>
      <c r="K70"/>
    </row>
    <row r="71" spans="2:11" ht="12.75" customHeight="1" x14ac:dyDescent="0.25">
      <c r="B71" s="341"/>
      <c r="C71" s="209"/>
      <c r="D71" s="209" t="s">
        <v>994</v>
      </c>
      <c r="E71" s="209" t="s">
        <v>996</v>
      </c>
      <c r="F71" s="209" t="s">
        <v>542</v>
      </c>
      <c r="G71" s="209" t="s">
        <v>465</v>
      </c>
      <c r="H71" s="342">
        <v>14</v>
      </c>
      <c r="I71" s="343">
        <v>63</v>
      </c>
      <c r="J71"/>
      <c r="K71"/>
    </row>
    <row r="72" spans="2:11" ht="12.75" customHeight="1" x14ac:dyDescent="0.25">
      <c r="B72" s="341"/>
      <c r="C72" s="209" t="s">
        <v>1000</v>
      </c>
      <c r="D72" s="209"/>
      <c r="E72" s="209"/>
      <c r="F72" s="209"/>
      <c r="G72" s="209"/>
      <c r="H72" s="342">
        <v>76</v>
      </c>
      <c r="I72" s="343">
        <v>350</v>
      </c>
      <c r="J72"/>
      <c r="K72"/>
    </row>
    <row r="73" spans="2:11" ht="12.75" customHeight="1" x14ac:dyDescent="0.25">
      <c r="B73" s="341"/>
      <c r="C73" s="209" t="s">
        <v>185</v>
      </c>
      <c r="D73" s="209" t="s">
        <v>192</v>
      </c>
      <c r="E73" s="209" t="s">
        <v>191</v>
      </c>
      <c r="F73" s="209" t="s">
        <v>943</v>
      </c>
      <c r="G73" s="209" t="s">
        <v>467</v>
      </c>
      <c r="H73" s="342">
        <v>100</v>
      </c>
      <c r="I73" s="343">
        <v>457</v>
      </c>
      <c r="J73"/>
      <c r="K73"/>
    </row>
    <row r="74" spans="2:11" ht="12.75" customHeight="1" x14ac:dyDescent="0.25">
      <c r="B74" s="341"/>
      <c r="C74" s="209"/>
      <c r="D74" s="209" t="s">
        <v>12</v>
      </c>
      <c r="E74" s="209" t="s">
        <v>389</v>
      </c>
      <c r="F74" s="209" t="s">
        <v>542</v>
      </c>
      <c r="G74" s="209" t="s">
        <v>465</v>
      </c>
      <c r="H74" s="342">
        <v>226</v>
      </c>
      <c r="I74" s="343">
        <v>1048</v>
      </c>
      <c r="J74"/>
      <c r="K74"/>
    </row>
    <row r="75" spans="2:11" ht="12.75" customHeight="1" x14ac:dyDescent="0.25">
      <c r="B75" s="341"/>
      <c r="C75" s="209"/>
      <c r="D75" s="209" t="s">
        <v>194</v>
      </c>
      <c r="E75" s="209" t="s">
        <v>193</v>
      </c>
      <c r="F75" s="209" t="s">
        <v>943</v>
      </c>
      <c r="G75" s="209" t="s">
        <v>467</v>
      </c>
      <c r="H75" s="342">
        <v>717</v>
      </c>
      <c r="I75" s="343">
        <v>3615</v>
      </c>
      <c r="J75"/>
      <c r="K75"/>
    </row>
    <row r="76" spans="2:11" ht="12.75" customHeight="1" x14ac:dyDescent="0.25">
      <c r="B76" s="341"/>
      <c r="C76" s="209"/>
      <c r="D76" s="209" t="s">
        <v>196</v>
      </c>
      <c r="E76" s="209" t="s">
        <v>195</v>
      </c>
      <c r="F76" s="209" t="s">
        <v>943</v>
      </c>
      <c r="G76" s="209" t="s">
        <v>467</v>
      </c>
      <c r="H76" s="342">
        <v>1518</v>
      </c>
      <c r="I76" s="343">
        <v>8513</v>
      </c>
      <c r="J76"/>
      <c r="K76"/>
    </row>
    <row r="77" spans="2:11" ht="12.75" customHeight="1" x14ac:dyDescent="0.25">
      <c r="B77" s="341"/>
      <c r="C77" s="209"/>
      <c r="D77" s="209" t="s">
        <v>475</v>
      </c>
      <c r="E77" s="209" t="s">
        <v>476</v>
      </c>
      <c r="F77" s="209" t="s">
        <v>542</v>
      </c>
      <c r="G77" s="209" t="s">
        <v>465</v>
      </c>
      <c r="H77" s="342">
        <v>3</v>
      </c>
      <c r="I77" s="343">
        <v>18</v>
      </c>
      <c r="J77"/>
      <c r="K77"/>
    </row>
    <row r="78" spans="2:11" ht="12.75" customHeight="1" x14ac:dyDescent="0.25">
      <c r="B78" s="341"/>
      <c r="C78" s="209"/>
      <c r="D78" s="209" t="s">
        <v>186</v>
      </c>
      <c r="E78" s="209" t="s">
        <v>184</v>
      </c>
      <c r="F78" s="209" t="s">
        <v>424</v>
      </c>
      <c r="G78" s="209" t="s">
        <v>465</v>
      </c>
      <c r="H78" s="342">
        <v>40</v>
      </c>
      <c r="I78" s="343">
        <v>241</v>
      </c>
      <c r="J78"/>
      <c r="K78"/>
    </row>
    <row r="79" spans="2:11" ht="12.75" customHeight="1" x14ac:dyDescent="0.25">
      <c r="B79" s="341"/>
      <c r="C79" s="209"/>
      <c r="D79" s="209" t="s">
        <v>223</v>
      </c>
      <c r="E79" s="209" t="s">
        <v>222</v>
      </c>
      <c r="F79" s="209" t="s">
        <v>942</v>
      </c>
      <c r="G79" s="209" t="s">
        <v>465</v>
      </c>
      <c r="H79" s="342">
        <v>129</v>
      </c>
      <c r="I79" s="343">
        <v>640</v>
      </c>
      <c r="J79"/>
      <c r="K79"/>
    </row>
    <row r="80" spans="2:11" ht="12.75" customHeight="1" x14ac:dyDescent="0.25">
      <c r="B80" s="341"/>
      <c r="C80" s="209"/>
      <c r="D80" s="209" t="s">
        <v>190</v>
      </c>
      <c r="E80" s="209" t="s">
        <v>189</v>
      </c>
      <c r="F80" s="209" t="s">
        <v>424</v>
      </c>
      <c r="G80" s="209" t="s">
        <v>465</v>
      </c>
      <c r="H80" s="342">
        <v>199</v>
      </c>
      <c r="I80" s="343">
        <v>1105</v>
      </c>
      <c r="J80"/>
      <c r="K80"/>
    </row>
    <row r="81" spans="2:11" ht="12.75" customHeight="1" x14ac:dyDescent="0.25">
      <c r="B81" s="341"/>
      <c r="C81" s="209"/>
      <c r="D81" s="209" t="s">
        <v>202</v>
      </c>
      <c r="E81" s="209" t="s">
        <v>201</v>
      </c>
      <c r="F81" s="209" t="s">
        <v>942</v>
      </c>
      <c r="G81" s="209" t="s">
        <v>465</v>
      </c>
      <c r="H81" s="342">
        <v>265</v>
      </c>
      <c r="I81" s="343">
        <v>1181</v>
      </c>
      <c r="J81"/>
      <c r="K81"/>
    </row>
    <row r="82" spans="2:11" ht="12.75" customHeight="1" x14ac:dyDescent="0.25">
      <c r="B82" s="341"/>
      <c r="C82" s="209"/>
      <c r="D82" s="209" t="s">
        <v>209</v>
      </c>
      <c r="E82" s="209" t="s">
        <v>208</v>
      </c>
      <c r="F82" s="209" t="s">
        <v>424</v>
      </c>
      <c r="G82" s="209" t="s">
        <v>465</v>
      </c>
      <c r="H82" s="342">
        <v>387</v>
      </c>
      <c r="I82" s="343">
        <v>1874</v>
      </c>
      <c r="J82"/>
      <c r="K82"/>
    </row>
    <row r="83" spans="2:11" ht="12.75" customHeight="1" x14ac:dyDescent="0.25">
      <c r="B83" s="341"/>
      <c r="C83" s="209"/>
      <c r="D83" s="209" t="s">
        <v>213</v>
      </c>
      <c r="E83" s="209" t="s">
        <v>212</v>
      </c>
      <c r="F83" s="209" t="s">
        <v>542</v>
      </c>
      <c r="G83" s="209" t="s">
        <v>465</v>
      </c>
      <c r="H83" s="342">
        <v>44</v>
      </c>
      <c r="I83" s="343">
        <v>143</v>
      </c>
      <c r="J83"/>
      <c r="K83"/>
    </row>
    <row r="84" spans="2:11" ht="12.75" customHeight="1" x14ac:dyDescent="0.25">
      <c r="B84" s="341"/>
      <c r="C84" s="209"/>
      <c r="D84" s="209" t="s">
        <v>215</v>
      </c>
      <c r="E84" s="209" t="s">
        <v>214</v>
      </c>
      <c r="F84" s="209" t="s">
        <v>942</v>
      </c>
      <c r="G84" s="209" t="s">
        <v>467</v>
      </c>
      <c r="H84" s="342">
        <v>356</v>
      </c>
      <c r="I84" s="343">
        <v>1787</v>
      </c>
      <c r="J84"/>
      <c r="K84"/>
    </row>
    <row r="85" spans="2:11" ht="12.75" customHeight="1" x14ac:dyDescent="0.25">
      <c r="B85" s="341"/>
      <c r="C85" s="209"/>
      <c r="D85" s="209" t="s">
        <v>229</v>
      </c>
      <c r="E85" s="209" t="s">
        <v>228</v>
      </c>
      <c r="F85" s="209" t="s">
        <v>424</v>
      </c>
      <c r="G85" s="209" t="s">
        <v>465</v>
      </c>
      <c r="H85" s="342">
        <v>49</v>
      </c>
      <c r="I85" s="343">
        <v>300</v>
      </c>
      <c r="J85"/>
      <c r="K85"/>
    </row>
    <row r="86" spans="2:11" ht="12.75" customHeight="1" x14ac:dyDescent="0.25">
      <c r="B86" s="341"/>
      <c r="C86" s="209"/>
      <c r="D86" s="209" t="s">
        <v>219</v>
      </c>
      <c r="E86" s="209" t="s">
        <v>218</v>
      </c>
      <c r="F86" s="209" t="s">
        <v>942</v>
      </c>
      <c r="G86" s="209" t="s">
        <v>467</v>
      </c>
      <c r="H86" s="342">
        <v>651</v>
      </c>
      <c r="I86" s="343">
        <v>3602</v>
      </c>
      <c r="J86"/>
      <c r="K86"/>
    </row>
    <row r="87" spans="2:11" ht="12.75" customHeight="1" x14ac:dyDescent="0.25">
      <c r="B87" s="341"/>
      <c r="C87" s="209"/>
      <c r="D87" s="209" t="s">
        <v>225</v>
      </c>
      <c r="E87" s="209" t="s">
        <v>224</v>
      </c>
      <c r="F87" s="209" t="s">
        <v>424</v>
      </c>
      <c r="G87" s="209" t="s">
        <v>465</v>
      </c>
      <c r="H87" s="342">
        <v>41</v>
      </c>
      <c r="I87" s="343">
        <v>245</v>
      </c>
      <c r="J87"/>
      <c r="K87"/>
    </row>
    <row r="88" spans="2:11" ht="12.75" customHeight="1" x14ac:dyDescent="0.25">
      <c r="B88" s="341"/>
      <c r="C88" s="209" t="s">
        <v>1001</v>
      </c>
      <c r="D88" s="209"/>
      <c r="E88" s="209"/>
      <c r="F88" s="209"/>
      <c r="G88" s="209"/>
      <c r="H88" s="342">
        <v>4725</v>
      </c>
      <c r="I88" s="343">
        <v>24769</v>
      </c>
      <c r="J88"/>
      <c r="K88"/>
    </row>
    <row r="89" spans="2:11" ht="12.75" customHeight="1" x14ac:dyDescent="0.25">
      <c r="B89" s="341"/>
      <c r="C89" s="209" t="s">
        <v>237</v>
      </c>
      <c r="D89" s="406" t="s">
        <v>252</v>
      </c>
      <c r="E89" s="209" t="s">
        <v>251</v>
      </c>
      <c r="F89" s="209" t="s">
        <v>424</v>
      </c>
      <c r="G89" s="209" t="s">
        <v>465</v>
      </c>
      <c r="H89" s="342">
        <v>199</v>
      </c>
      <c r="I89" s="343">
        <v>1114</v>
      </c>
      <c r="J89"/>
      <c r="K89"/>
    </row>
    <row r="90" spans="2:11" ht="12.75" customHeight="1" x14ac:dyDescent="0.25">
      <c r="B90" s="341"/>
      <c r="C90" s="209"/>
      <c r="D90" s="406" t="s">
        <v>254</v>
      </c>
      <c r="E90" s="209" t="s">
        <v>253</v>
      </c>
      <c r="F90" s="209" t="s">
        <v>943</v>
      </c>
      <c r="G90" s="209" t="s">
        <v>465</v>
      </c>
      <c r="H90" s="342">
        <v>88</v>
      </c>
      <c r="I90" s="343">
        <v>427</v>
      </c>
      <c r="J90"/>
      <c r="K90"/>
    </row>
    <row r="91" spans="2:11" ht="12.75" customHeight="1" x14ac:dyDescent="0.25">
      <c r="B91" s="341"/>
      <c r="C91" s="209"/>
      <c r="D91" s="406" t="s">
        <v>256</v>
      </c>
      <c r="E91" s="209" t="s">
        <v>255</v>
      </c>
      <c r="F91" s="209" t="s">
        <v>424</v>
      </c>
      <c r="G91" s="209" t="s">
        <v>465</v>
      </c>
      <c r="H91" s="342">
        <v>43</v>
      </c>
      <c r="I91" s="343">
        <v>196</v>
      </c>
      <c r="J91"/>
      <c r="K91"/>
    </row>
    <row r="92" spans="2:11" ht="12.75" customHeight="1" x14ac:dyDescent="0.25">
      <c r="B92" s="341"/>
      <c r="C92" s="209"/>
      <c r="D92" s="406" t="s">
        <v>240</v>
      </c>
      <c r="E92" s="209" t="s">
        <v>239</v>
      </c>
      <c r="F92" s="209" t="s">
        <v>424</v>
      </c>
      <c r="G92" s="209" t="s">
        <v>465</v>
      </c>
      <c r="H92" s="342">
        <v>105</v>
      </c>
      <c r="I92" s="343">
        <v>577</v>
      </c>
      <c r="J92"/>
      <c r="K92"/>
    </row>
    <row r="93" spans="2:11" ht="12.75" customHeight="1" x14ac:dyDescent="0.25">
      <c r="B93" s="341"/>
      <c r="C93" s="209"/>
      <c r="D93" s="406" t="s">
        <v>284</v>
      </c>
      <c r="E93" s="209" t="s">
        <v>283</v>
      </c>
      <c r="F93" s="209" t="s">
        <v>424</v>
      </c>
      <c r="G93" s="209" t="s">
        <v>465</v>
      </c>
      <c r="H93" s="342">
        <v>139</v>
      </c>
      <c r="I93" s="343">
        <v>707</v>
      </c>
      <c r="J93"/>
      <c r="K93"/>
    </row>
    <row r="94" spans="2:11" ht="12.75" customHeight="1" x14ac:dyDescent="0.25">
      <c r="B94" s="341"/>
      <c r="C94" s="209"/>
      <c r="D94" s="209" t="s">
        <v>258</v>
      </c>
      <c r="E94" s="209" t="s">
        <v>257</v>
      </c>
      <c r="F94" s="209" t="s">
        <v>424</v>
      </c>
      <c r="G94" s="209" t="s">
        <v>465</v>
      </c>
      <c r="H94" s="342">
        <v>75</v>
      </c>
      <c r="I94" s="343">
        <v>395</v>
      </c>
      <c r="J94"/>
      <c r="K94"/>
    </row>
    <row r="95" spans="2:11" ht="12.75" customHeight="1" x14ac:dyDescent="0.25">
      <c r="B95" s="341"/>
      <c r="C95" s="209"/>
      <c r="D95" s="209" t="s">
        <v>260</v>
      </c>
      <c r="E95" s="209" t="s">
        <v>259</v>
      </c>
      <c r="F95" s="209" t="s">
        <v>424</v>
      </c>
      <c r="G95" s="209" t="s">
        <v>465</v>
      </c>
      <c r="H95" s="342">
        <v>103</v>
      </c>
      <c r="I95" s="343">
        <v>581</v>
      </c>
      <c r="J95"/>
      <c r="K95"/>
    </row>
    <row r="96" spans="2:11" ht="12.75" customHeight="1" x14ac:dyDescent="0.25">
      <c r="B96" s="341"/>
      <c r="C96" s="209"/>
      <c r="D96" s="209" t="s">
        <v>262</v>
      </c>
      <c r="E96" s="209" t="s">
        <v>261</v>
      </c>
      <c r="F96" s="209" t="s">
        <v>462</v>
      </c>
      <c r="G96" s="209" t="s">
        <v>465</v>
      </c>
      <c r="H96" s="342">
        <v>24</v>
      </c>
      <c r="I96" s="343">
        <v>97</v>
      </c>
      <c r="J96"/>
      <c r="K96"/>
    </row>
    <row r="97" spans="2:11" ht="12.75" customHeight="1" x14ac:dyDescent="0.25">
      <c r="B97" s="341"/>
      <c r="C97" s="209"/>
      <c r="D97" s="209" t="s">
        <v>264</v>
      </c>
      <c r="E97" s="209" t="s">
        <v>263</v>
      </c>
      <c r="F97" s="209" t="s">
        <v>462</v>
      </c>
      <c r="G97" s="209" t="s">
        <v>465</v>
      </c>
      <c r="H97" s="342">
        <v>14</v>
      </c>
      <c r="I97" s="343">
        <v>75</v>
      </c>
      <c r="J97"/>
      <c r="K97"/>
    </row>
    <row r="98" spans="2:11" ht="12.75" customHeight="1" x14ac:dyDescent="0.25">
      <c r="B98" s="341"/>
      <c r="C98" s="209"/>
      <c r="D98" s="209" t="s">
        <v>270</v>
      </c>
      <c r="E98" s="209" t="s">
        <v>269</v>
      </c>
      <c r="F98" s="209" t="s">
        <v>943</v>
      </c>
      <c r="G98" s="209" t="s">
        <v>465</v>
      </c>
      <c r="H98" s="342">
        <v>63</v>
      </c>
      <c r="I98" s="343">
        <v>310</v>
      </c>
      <c r="J98"/>
      <c r="K98"/>
    </row>
    <row r="99" spans="2:11" ht="12.75" customHeight="1" x14ac:dyDescent="0.25">
      <c r="B99" s="341"/>
      <c r="C99" s="209"/>
      <c r="D99" s="209" t="s">
        <v>268</v>
      </c>
      <c r="E99" s="209" t="s">
        <v>267</v>
      </c>
      <c r="F99" s="209" t="s">
        <v>424</v>
      </c>
      <c r="G99" s="209" t="s">
        <v>465</v>
      </c>
      <c r="H99" s="342">
        <v>67</v>
      </c>
      <c r="I99" s="343">
        <v>297</v>
      </c>
      <c r="J99"/>
      <c r="K99"/>
    </row>
    <row r="100" spans="2:11" ht="12.75" customHeight="1" x14ac:dyDescent="0.25">
      <c r="B100" s="341"/>
      <c r="C100" s="209"/>
      <c r="D100" s="209" t="s">
        <v>272</v>
      </c>
      <c r="E100" s="209" t="s">
        <v>271</v>
      </c>
      <c r="F100" s="209" t="s">
        <v>943</v>
      </c>
      <c r="G100" s="209" t="s">
        <v>465</v>
      </c>
      <c r="H100" s="342">
        <v>46</v>
      </c>
      <c r="I100" s="343">
        <v>279</v>
      </c>
      <c r="J100"/>
      <c r="K100"/>
    </row>
    <row r="101" spans="2:11" ht="12.75" customHeight="1" x14ac:dyDescent="0.25">
      <c r="B101" s="341"/>
      <c r="C101" s="209"/>
      <c r="D101" s="209" t="s">
        <v>276</v>
      </c>
      <c r="E101" s="209" t="s">
        <v>275</v>
      </c>
      <c r="F101" s="209" t="s">
        <v>424</v>
      </c>
      <c r="G101" s="209" t="s">
        <v>465</v>
      </c>
      <c r="H101" s="342">
        <v>121</v>
      </c>
      <c r="I101" s="343">
        <v>556</v>
      </c>
      <c r="J101"/>
      <c r="K101"/>
    </row>
    <row r="102" spans="2:11" ht="12.75" customHeight="1" x14ac:dyDescent="0.25">
      <c r="B102" s="341"/>
      <c r="C102" s="209"/>
      <c r="D102" s="209" t="s">
        <v>278</v>
      </c>
      <c r="E102" s="209" t="s">
        <v>277</v>
      </c>
      <c r="F102" s="209" t="s">
        <v>462</v>
      </c>
      <c r="G102" s="209" t="s">
        <v>465</v>
      </c>
      <c r="H102" s="342">
        <v>23</v>
      </c>
      <c r="I102" s="343">
        <v>114</v>
      </c>
      <c r="J102"/>
      <c r="K102"/>
    </row>
    <row r="103" spans="2:11" ht="12.75" customHeight="1" x14ac:dyDescent="0.25">
      <c r="B103" s="341"/>
      <c r="C103" s="209"/>
      <c r="D103" s="209" t="s">
        <v>280</v>
      </c>
      <c r="E103" s="209" t="s">
        <v>279</v>
      </c>
      <c r="F103" s="209" t="s">
        <v>424</v>
      </c>
      <c r="G103" s="209" t="s">
        <v>465</v>
      </c>
      <c r="H103" s="342">
        <v>91</v>
      </c>
      <c r="I103" s="343">
        <v>501</v>
      </c>
      <c r="J103"/>
      <c r="K103"/>
    </row>
    <row r="104" spans="2:11" ht="12.75" customHeight="1" x14ac:dyDescent="0.25">
      <c r="B104" s="341"/>
      <c r="C104" s="209"/>
      <c r="D104" s="209" t="s">
        <v>238</v>
      </c>
      <c r="E104" s="209" t="s">
        <v>236</v>
      </c>
      <c r="F104" s="209" t="s">
        <v>424</v>
      </c>
      <c r="G104" s="209" t="s">
        <v>465</v>
      </c>
      <c r="H104" s="342">
        <v>69</v>
      </c>
      <c r="I104" s="343">
        <v>366</v>
      </c>
      <c r="J104"/>
      <c r="K104"/>
    </row>
    <row r="105" spans="2:11" ht="12.75" customHeight="1" x14ac:dyDescent="0.25">
      <c r="B105" s="341"/>
      <c r="C105" s="209"/>
      <c r="D105" s="209" t="s">
        <v>248</v>
      </c>
      <c r="E105" s="209" t="s">
        <v>247</v>
      </c>
      <c r="F105" s="209" t="s">
        <v>462</v>
      </c>
      <c r="G105" s="209" t="s">
        <v>465</v>
      </c>
      <c r="H105" s="342">
        <v>6</v>
      </c>
      <c r="I105" s="343">
        <v>31</v>
      </c>
      <c r="J105"/>
      <c r="K105"/>
    </row>
    <row r="106" spans="2:11" ht="12.75" customHeight="1" x14ac:dyDescent="0.25">
      <c r="B106" s="341"/>
      <c r="C106" s="209"/>
      <c r="D106" s="209" t="s">
        <v>250</v>
      </c>
      <c r="E106" s="209" t="s">
        <v>249</v>
      </c>
      <c r="F106" s="209" t="s">
        <v>424</v>
      </c>
      <c r="G106" s="209" t="s">
        <v>465</v>
      </c>
      <c r="H106" s="342">
        <v>30</v>
      </c>
      <c r="I106" s="343">
        <v>170</v>
      </c>
      <c r="J106"/>
      <c r="K106"/>
    </row>
    <row r="107" spans="2:11" ht="12.75" customHeight="1" x14ac:dyDescent="0.25">
      <c r="B107" s="341"/>
      <c r="C107" s="209"/>
      <c r="D107" s="209" t="s">
        <v>274</v>
      </c>
      <c r="E107" s="209" t="s">
        <v>273</v>
      </c>
      <c r="F107" s="209" t="s">
        <v>424</v>
      </c>
      <c r="G107" s="209" t="s">
        <v>465</v>
      </c>
      <c r="H107" s="342">
        <v>46</v>
      </c>
      <c r="I107" s="343">
        <v>239</v>
      </c>
      <c r="J107"/>
      <c r="K107"/>
    </row>
    <row r="108" spans="2:11" ht="12.75" customHeight="1" x14ac:dyDescent="0.25">
      <c r="B108" s="341"/>
      <c r="C108" s="209"/>
      <c r="D108" s="209" t="s">
        <v>1049</v>
      </c>
      <c r="E108" s="209" t="s">
        <v>241</v>
      </c>
      <c r="F108" s="209" t="s">
        <v>462</v>
      </c>
      <c r="G108" s="209" t="s">
        <v>465</v>
      </c>
      <c r="H108" s="342">
        <v>54</v>
      </c>
      <c r="I108" s="343">
        <v>264</v>
      </c>
      <c r="J108"/>
      <c r="K108"/>
    </row>
    <row r="109" spans="2:11" ht="12.75" customHeight="1" x14ac:dyDescent="0.25">
      <c r="B109" s="341"/>
      <c r="C109" s="209"/>
      <c r="D109" s="209" t="s">
        <v>1719</v>
      </c>
      <c r="E109" s="209" t="s">
        <v>244</v>
      </c>
      <c r="F109" s="209" t="s">
        <v>424</v>
      </c>
      <c r="G109" s="209" t="s">
        <v>465</v>
      </c>
      <c r="H109" s="342">
        <v>42</v>
      </c>
      <c r="I109" s="343">
        <v>186</v>
      </c>
      <c r="J109"/>
      <c r="K109"/>
    </row>
    <row r="110" spans="2:11" ht="12.75" customHeight="1" x14ac:dyDescent="0.25">
      <c r="B110" s="341"/>
      <c r="C110" s="209"/>
      <c r="D110" s="209" t="s">
        <v>1727</v>
      </c>
      <c r="E110" s="209" t="s">
        <v>789</v>
      </c>
      <c r="F110" s="209" t="s">
        <v>1479</v>
      </c>
      <c r="G110" s="209" t="s">
        <v>465</v>
      </c>
      <c r="H110" s="342">
        <v>23</v>
      </c>
      <c r="I110" s="343">
        <v>54</v>
      </c>
      <c r="J110"/>
      <c r="K110"/>
    </row>
    <row r="111" spans="2:11" ht="12.75" customHeight="1" x14ac:dyDescent="0.25">
      <c r="B111" s="341"/>
      <c r="C111" s="209" t="s">
        <v>1002</v>
      </c>
      <c r="D111" s="209"/>
      <c r="E111" s="209"/>
      <c r="F111" s="209"/>
      <c r="G111" s="209"/>
      <c r="H111" s="342">
        <v>1471</v>
      </c>
      <c r="I111" s="343">
        <v>7536</v>
      </c>
      <c r="J111"/>
      <c r="K111"/>
    </row>
    <row r="112" spans="2:11" ht="12.75" customHeight="1" x14ac:dyDescent="0.25">
      <c r="B112" s="341"/>
      <c r="C112" s="209" t="s">
        <v>299</v>
      </c>
      <c r="D112" s="209" t="s">
        <v>300</v>
      </c>
      <c r="E112" s="209" t="s">
        <v>298</v>
      </c>
      <c r="F112" s="209" t="s">
        <v>542</v>
      </c>
      <c r="G112" s="209" t="s">
        <v>465</v>
      </c>
      <c r="H112" s="342">
        <v>14</v>
      </c>
      <c r="I112" s="343">
        <v>75</v>
      </c>
      <c r="J112"/>
      <c r="K112"/>
    </row>
    <row r="113" spans="2:11" ht="12.75" customHeight="1" x14ac:dyDescent="0.25">
      <c r="B113" s="341"/>
      <c r="C113" s="209"/>
      <c r="D113" s="209" t="s">
        <v>896</v>
      </c>
      <c r="E113" s="209" t="s">
        <v>897</v>
      </c>
      <c r="F113" s="209" t="s">
        <v>542</v>
      </c>
      <c r="G113" s="209" t="s">
        <v>465</v>
      </c>
      <c r="H113" s="342">
        <v>10</v>
      </c>
      <c r="I113" s="343">
        <v>56</v>
      </c>
      <c r="J113"/>
      <c r="K113"/>
    </row>
    <row r="114" spans="2:11" ht="12.75" customHeight="1" x14ac:dyDescent="0.25">
      <c r="B114" s="341"/>
      <c r="C114" s="209"/>
      <c r="D114" s="209" t="s">
        <v>1064</v>
      </c>
      <c r="E114" s="209" t="s">
        <v>1063</v>
      </c>
      <c r="F114" s="209" t="s">
        <v>424</v>
      </c>
      <c r="G114" s="209" t="s">
        <v>465</v>
      </c>
      <c r="H114" s="342">
        <v>61</v>
      </c>
      <c r="I114" s="343">
        <v>281</v>
      </c>
      <c r="J114"/>
      <c r="K114"/>
    </row>
    <row r="115" spans="2:11" ht="12.75" customHeight="1" x14ac:dyDescent="0.25">
      <c r="B115" s="341"/>
      <c r="C115" s="209" t="s">
        <v>1003</v>
      </c>
      <c r="D115" s="209"/>
      <c r="E115" s="209"/>
      <c r="F115" s="209"/>
      <c r="G115" s="209"/>
      <c r="H115" s="342">
        <v>85</v>
      </c>
      <c r="I115" s="343">
        <v>412</v>
      </c>
      <c r="J115"/>
      <c r="K115"/>
    </row>
    <row r="116" spans="2:11" ht="12.75" customHeight="1" x14ac:dyDescent="0.25">
      <c r="B116" s="341"/>
      <c r="C116" s="209" t="s">
        <v>301</v>
      </c>
      <c r="D116" s="209" t="s">
        <v>303</v>
      </c>
      <c r="E116" s="209" t="s">
        <v>302</v>
      </c>
      <c r="F116" s="209" t="s">
        <v>542</v>
      </c>
      <c r="G116" s="209" t="s">
        <v>465</v>
      </c>
      <c r="H116" s="342">
        <v>375</v>
      </c>
      <c r="I116" s="343">
        <v>1691</v>
      </c>
      <c r="J116"/>
      <c r="K116"/>
    </row>
    <row r="117" spans="2:11" ht="12.75" customHeight="1" x14ac:dyDescent="0.25">
      <c r="B117" s="341"/>
      <c r="C117" s="209"/>
      <c r="D117" s="209" t="s">
        <v>305</v>
      </c>
      <c r="E117" s="209" t="s">
        <v>304</v>
      </c>
      <c r="F117" s="209" t="s">
        <v>424</v>
      </c>
      <c r="G117" s="209" t="s">
        <v>465</v>
      </c>
      <c r="H117" s="342">
        <v>86</v>
      </c>
      <c r="I117" s="343">
        <v>309</v>
      </c>
      <c r="J117"/>
      <c r="K117"/>
    </row>
    <row r="118" spans="2:11" ht="12.75" customHeight="1" x14ac:dyDescent="0.25">
      <c r="B118" s="341"/>
      <c r="C118" s="209"/>
      <c r="D118" s="209" t="s">
        <v>307</v>
      </c>
      <c r="E118" s="209" t="s">
        <v>306</v>
      </c>
      <c r="F118" s="209" t="s">
        <v>942</v>
      </c>
      <c r="G118" s="209" t="s">
        <v>465</v>
      </c>
      <c r="H118" s="342">
        <v>46</v>
      </c>
      <c r="I118" s="343">
        <v>177</v>
      </c>
      <c r="J118"/>
      <c r="K118"/>
    </row>
    <row r="119" spans="2:11" ht="12.75" customHeight="1" x14ac:dyDescent="0.25">
      <c r="B119" s="341"/>
      <c r="C119" s="209" t="s">
        <v>1107</v>
      </c>
      <c r="D119" s="209"/>
      <c r="E119" s="209"/>
      <c r="F119" s="209"/>
      <c r="G119" s="209"/>
      <c r="H119" s="342">
        <v>507</v>
      </c>
      <c r="I119" s="343">
        <v>2177</v>
      </c>
      <c r="J119"/>
      <c r="K119"/>
    </row>
    <row r="120" spans="2:11" ht="12.75" customHeight="1" x14ac:dyDescent="0.25">
      <c r="B120" s="341"/>
      <c r="C120" s="209" t="s">
        <v>748</v>
      </c>
      <c r="D120" s="209" t="s">
        <v>748</v>
      </c>
      <c r="E120" s="209" t="s">
        <v>752</v>
      </c>
      <c r="F120" s="209" t="s">
        <v>542</v>
      </c>
      <c r="G120" s="209" t="s">
        <v>465</v>
      </c>
      <c r="H120" s="342">
        <v>5</v>
      </c>
      <c r="I120" s="343">
        <v>32</v>
      </c>
      <c r="J120"/>
      <c r="K120"/>
    </row>
    <row r="121" spans="2:11" ht="12.75" customHeight="1" x14ac:dyDescent="0.25">
      <c r="B121" s="341"/>
      <c r="C121" s="209"/>
      <c r="D121" s="209" t="s">
        <v>1084</v>
      </c>
      <c r="E121" s="209" t="s">
        <v>1085</v>
      </c>
      <c r="F121" s="209" t="s">
        <v>424</v>
      </c>
      <c r="G121" s="209" t="s">
        <v>467</v>
      </c>
      <c r="H121" s="342">
        <v>70</v>
      </c>
      <c r="I121" s="343">
        <v>407</v>
      </c>
      <c r="J121"/>
      <c r="K121"/>
    </row>
    <row r="122" spans="2:11" ht="12.75" customHeight="1" x14ac:dyDescent="0.25">
      <c r="B122" s="341"/>
      <c r="C122" s="209"/>
      <c r="D122" s="209" t="s">
        <v>1086</v>
      </c>
      <c r="E122" s="209" t="s">
        <v>1087</v>
      </c>
      <c r="F122" s="209" t="s">
        <v>424</v>
      </c>
      <c r="G122" s="209" t="s">
        <v>467</v>
      </c>
      <c r="H122" s="342">
        <v>63</v>
      </c>
      <c r="I122" s="343">
        <v>325</v>
      </c>
      <c r="J122"/>
      <c r="K122"/>
    </row>
    <row r="123" spans="2:11" ht="12.75" customHeight="1" x14ac:dyDescent="0.25">
      <c r="B123" s="341"/>
      <c r="C123" s="209" t="s">
        <v>1108</v>
      </c>
      <c r="D123" s="209"/>
      <c r="E123" s="209"/>
      <c r="F123" s="209"/>
      <c r="G123" s="209"/>
      <c r="H123" s="342">
        <v>138</v>
      </c>
      <c r="I123" s="343">
        <v>764</v>
      </c>
      <c r="J123"/>
      <c r="K123"/>
    </row>
    <row r="124" spans="2:11" ht="12.75" customHeight="1" x14ac:dyDescent="0.25">
      <c r="B124" s="341"/>
      <c r="C124" s="209" t="s">
        <v>309</v>
      </c>
      <c r="D124" s="209" t="s">
        <v>333</v>
      </c>
      <c r="E124" s="209" t="s">
        <v>332</v>
      </c>
      <c r="F124" s="209" t="s">
        <v>943</v>
      </c>
      <c r="G124" s="209" t="s">
        <v>467</v>
      </c>
      <c r="H124" s="342">
        <v>132</v>
      </c>
      <c r="I124" s="343">
        <v>522</v>
      </c>
      <c r="J124"/>
      <c r="K124"/>
    </row>
    <row r="125" spans="2:11" ht="12.75" customHeight="1" x14ac:dyDescent="0.25">
      <c r="B125" s="341"/>
      <c r="C125" s="209"/>
      <c r="D125" s="209" t="s">
        <v>312</v>
      </c>
      <c r="E125" s="209" t="s">
        <v>311</v>
      </c>
      <c r="F125" s="209" t="s">
        <v>462</v>
      </c>
      <c r="G125" s="209" t="s">
        <v>465</v>
      </c>
      <c r="H125" s="342">
        <v>103</v>
      </c>
      <c r="I125" s="343">
        <v>503</v>
      </c>
      <c r="J125"/>
      <c r="K125"/>
    </row>
    <row r="126" spans="2:11" ht="12.75" customHeight="1" x14ac:dyDescent="0.25">
      <c r="B126" s="341"/>
      <c r="C126" s="209"/>
      <c r="D126" s="209" t="s">
        <v>335</v>
      </c>
      <c r="E126" s="209" t="s">
        <v>334</v>
      </c>
      <c r="F126" s="209" t="s">
        <v>424</v>
      </c>
      <c r="G126" s="209" t="s">
        <v>467</v>
      </c>
      <c r="H126" s="342">
        <v>149</v>
      </c>
      <c r="I126" s="343">
        <v>908</v>
      </c>
      <c r="J126"/>
      <c r="K126"/>
    </row>
    <row r="127" spans="2:11" ht="12.75" customHeight="1" x14ac:dyDescent="0.25">
      <c r="B127" s="341"/>
      <c r="C127" s="209"/>
      <c r="D127" s="209" t="s">
        <v>753</v>
      </c>
      <c r="E127" s="209" t="s">
        <v>754</v>
      </c>
      <c r="F127" s="209" t="s">
        <v>542</v>
      </c>
      <c r="G127" s="209" t="s">
        <v>467</v>
      </c>
      <c r="H127" s="342"/>
      <c r="I127" s="343">
        <v>872</v>
      </c>
      <c r="J127"/>
      <c r="K127"/>
    </row>
    <row r="128" spans="2:11" ht="12.75" customHeight="1" x14ac:dyDescent="0.25">
      <c r="B128" s="341"/>
      <c r="C128" s="209"/>
      <c r="D128" s="406" t="s">
        <v>319</v>
      </c>
      <c r="E128" s="209" t="s">
        <v>318</v>
      </c>
      <c r="F128" s="209" t="s">
        <v>424</v>
      </c>
      <c r="G128" s="209" t="s">
        <v>465</v>
      </c>
      <c r="H128" s="342">
        <v>30</v>
      </c>
      <c r="I128" s="343">
        <v>165</v>
      </c>
      <c r="J128"/>
      <c r="K128"/>
    </row>
    <row r="129" spans="2:11" ht="12.75" customHeight="1" x14ac:dyDescent="0.25">
      <c r="B129" s="341"/>
      <c r="C129" s="209"/>
      <c r="D129" s="406" t="s">
        <v>321</v>
      </c>
      <c r="E129" s="209" t="s">
        <v>320</v>
      </c>
      <c r="F129" s="209" t="s">
        <v>943</v>
      </c>
      <c r="G129" s="209" t="s">
        <v>467</v>
      </c>
      <c r="H129" s="342">
        <v>437</v>
      </c>
      <c r="I129" s="343">
        <v>1938</v>
      </c>
      <c r="J129"/>
      <c r="K129"/>
    </row>
    <row r="130" spans="2:11" ht="12.75" customHeight="1" x14ac:dyDescent="0.25">
      <c r="B130" s="341"/>
      <c r="C130" s="209"/>
      <c r="D130" s="406" t="s">
        <v>327</v>
      </c>
      <c r="E130" s="209" t="s">
        <v>326</v>
      </c>
      <c r="F130" s="209" t="s">
        <v>462</v>
      </c>
      <c r="G130" s="209" t="s">
        <v>465</v>
      </c>
      <c r="H130" s="342">
        <v>333</v>
      </c>
      <c r="I130" s="343">
        <v>1800</v>
      </c>
      <c r="J130"/>
      <c r="K130"/>
    </row>
    <row r="131" spans="2:11" ht="12.75" customHeight="1" x14ac:dyDescent="0.25">
      <c r="B131" s="341"/>
      <c r="C131" s="209"/>
      <c r="D131" s="406" t="s">
        <v>329</v>
      </c>
      <c r="E131" s="209" t="s">
        <v>328</v>
      </c>
      <c r="F131" s="209" t="s">
        <v>943</v>
      </c>
      <c r="G131" s="209" t="s">
        <v>465</v>
      </c>
      <c r="H131" s="342">
        <v>282</v>
      </c>
      <c r="I131" s="343">
        <v>1478</v>
      </c>
      <c r="J131"/>
      <c r="K131"/>
    </row>
    <row r="132" spans="2:11" ht="12.75" customHeight="1" x14ac:dyDescent="0.25">
      <c r="B132" s="341"/>
      <c r="C132" s="209"/>
      <c r="D132" s="406" t="s">
        <v>323</v>
      </c>
      <c r="E132" s="209" t="s">
        <v>322</v>
      </c>
      <c r="F132" s="209" t="s">
        <v>424</v>
      </c>
      <c r="G132" s="209" t="s">
        <v>465</v>
      </c>
      <c r="H132" s="342">
        <v>499</v>
      </c>
      <c r="I132" s="343">
        <v>2543</v>
      </c>
      <c r="J132"/>
      <c r="K132"/>
    </row>
    <row r="133" spans="2:11" ht="12.75" customHeight="1" x14ac:dyDescent="0.25">
      <c r="B133" s="341"/>
      <c r="C133" s="209"/>
      <c r="D133" s="406" t="s">
        <v>325</v>
      </c>
      <c r="E133" s="209" t="s">
        <v>324</v>
      </c>
      <c r="F133" s="209" t="s">
        <v>424</v>
      </c>
      <c r="G133" s="209" t="s">
        <v>465</v>
      </c>
      <c r="H133" s="342">
        <v>46</v>
      </c>
      <c r="I133" s="343">
        <v>193</v>
      </c>
      <c r="J133"/>
      <c r="K133"/>
    </row>
    <row r="134" spans="2:11" ht="12.75" customHeight="1" x14ac:dyDescent="0.25">
      <c r="B134" s="341"/>
      <c r="C134" s="209"/>
      <c r="D134" s="406" t="s">
        <v>342</v>
      </c>
      <c r="E134" s="209" t="s">
        <v>341</v>
      </c>
      <c r="F134" s="209" t="s">
        <v>462</v>
      </c>
      <c r="G134" s="209" t="s">
        <v>465</v>
      </c>
      <c r="H134" s="342">
        <v>20</v>
      </c>
      <c r="I134" s="343">
        <v>86</v>
      </c>
      <c r="J134"/>
      <c r="K134"/>
    </row>
    <row r="135" spans="2:11" ht="12.75" customHeight="1" x14ac:dyDescent="0.25">
      <c r="B135" s="341"/>
      <c r="C135" s="209"/>
      <c r="D135" s="406" t="s">
        <v>353</v>
      </c>
      <c r="E135" s="209" t="s">
        <v>352</v>
      </c>
      <c r="F135" s="209" t="s">
        <v>943</v>
      </c>
      <c r="G135" s="209" t="s">
        <v>467</v>
      </c>
      <c r="H135" s="342">
        <v>88</v>
      </c>
      <c r="I135" s="343">
        <v>545</v>
      </c>
      <c r="J135"/>
      <c r="K135"/>
    </row>
    <row r="136" spans="2:11" ht="12.75" customHeight="1" x14ac:dyDescent="0.25">
      <c r="B136" s="341"/>
      <c r="C136" s="209"/>
      <c r="D136" s="406" t="s">
        <v>317</v>
      </c>
      <c r="E136" s="209" t="s">
        <v>316</v>
      </c>
      <c r="F136" s="209" t="s">
        <v>462</v>
      </c>
      <c r="G136" s="209" t="s">
        <v>465</v>
      </c>
      <c r="H136" s="342">
        <v>115</v>
      </c>
      <c r="I136" s="343">
        <v>460</v>
      </c>
      <c r="J136"/>
      <c r="K136"/>
    </row>
    <row r="137" spans="2:11" ht="12.75" customHeight="1" x14ac:dyDescent="0.25">
      <c r="B137" s="341"/>
      <c r="C137" s="209"/>
      <c r="D137" s="406" t="s">
        <v>340</v>
      </c>
      <c r="E137" s="209" t="s">
        <v>339</v>
      </c>
      <c r="F137" s="209" t="s">
        <v>424</v>
      </c>
      <c r="G137" s="209" t="s">
        <v>465</v>
      </c>
      <c r="H137" s="342">
        <v>64</v>
      </c>
      <c r="I137" s="343">
        <v>323</v>
      </c>
      <c r="J137"/>
      <c r="K137"/>
    </row>
    <row r="138" spans="2:11" ht="12.75" customHeight="1" x14ac:dyDescent="0.25">
      <c r="B138" s="341"/>
      <c r="C138" s="209"/>
      <c r="D138" s="406" t="s">
        <v>337</v>
      </c>
      <c r="E138" s="209" t="s">
        <v>336</v>
      </c>
      <c r="F138" s="209" t="s">
        <v>462</v>
      </c>
      <c r="G138" s="209" t="s">
        <v>465</v>
      </c>
      <c r="H138" s="342">
        <v>29</v>
      </c>
      <c r="I138" s="343">
        <v>160</v>
      </c>
      <c r="J138"/>
      <c r="K138"/>
    </row>
    <row r="139" spans="2:11" ht="12.75" customHeight="1" x14ac:dyDescent="0.25">
      <c r="B139" s="341"/>
      <c r="C139" s="209"/>
      <c r="D139" s="406" t="s">
        <v>349</v>
      </c>
      <c r="E139" s="209" t="s">
        <v>348</v>
      </c>
      <c r="F139" s="209" t="s">
        <v>462</v>
      </c>
      <c r="G139" s="209" t="s">
        <v>465</v>
      </c>
      <c r="H139" s="342">
        <v>90</v>
      </c>
      <c r="I139" s="343">
        <v>491</v>
      </c>
      <c r="J139"/>
      <c r="K139"/>
    </row>
    <row r="140" spans="2:11" ht="12.75" customHeight="1" x14ac:dyDescent="0.25">
      <c r="B140" s="341"/>
      <c r="C140" s="209"/>
      <c r="D140" s="406" t="s">
        <v>345</v>
      </c>
      <c r="E140" s="209" t="s">
        <v>344</v>
      </c>
      <c r="F140" s="209" t="s">
        <v>424</v>
      </c>
      <c r="G140" s="209" t="s">
        <v>465</v>
      </c>
      <c r="H140" s="342">
        <v>182</v>
      </c>
      <c r="I140" s="343">
        <v>969</v>
      </c>
      <c r="J140"/>
      <c r="K140"/>
    </row>
    <row r="141" spans="2:11" ht="12.75" customHeight="1" x14ac:dyDescent="0.25">
      <c r="B141" s="341"/>
      <c r="C141" s="209"/>
      <c r="D141" s="406" t="s">
        <v>347</v>
      </c>
      <c r="E141" s="209" t="s">
        <v>346</v>
      </c>
      <c r="F141" s="209" t="s">
        <v>462</v>
      </c>
      <c r="G141" s="209" t="s">
        <v>465</v>
      </c>
      <c r="H141" s="342">
        <v>46</v>
      </c>
      <c r="I141" s="343">
        <v>190</v>
      </c>
      <c r="J141"/>
      <c r="K141"/>
    </row>
    <row r="142" spans="2:11" ht="12.75" customHeight="1" x14ac:dyDescent="0.25">
      <c r="B142" s="341"/>
      <c r="C142" s="209"/>
      <c r="D142" s="406" t="s">
        <v>315</v>
      </c>
      <c r="E142" s="209" t="s">
        <v>314</v>
      </c>
      <c r="F142" s="209" t="s">
        <v>462</v>
      </c>
      <c r="G142" s="209" t="s">
        <v>465</v>
      </c>
      <c r="H142" s="342">
        <v>69</v>
      </c>
      <c r="I142" s="343">
        <v>286</v>
      </c>
      <c r="J142"/>
      <c r="K142"/>
    </row>
    <row r="143" spans="2:11" ht="12.75" customHeight="1" x14ac:dyDescent="0.25">
      <c r="B143" s="341"/>
      <c r="C143" s="209"/>
      <c r="D143" s="209" t="s">
        <v>351</v>
      </c>
      <c r="E143" s="209" t="s">
        <v>350</v>
      </c>
      <c r="F143" s="209" t="s">
        <v>943</v>
      </c>
      <c r="G143" s="209" t="s">
        <v>467</v>
      </c>
      <c r="H143" s="342">
        <v>1411</v>
      </c>
      <c r="I143" s="343">
        <v>6904</v>
      </c>
      <c r="J143"/>
      <c r="K143"/>
    </row>
    <row r="144" spans="2:11" ht="12.75" customHeight="1" x14ac:dyDescent="0.25">
      <c r="B144" s="341"/>
      <c r="C144" s="209"/>
      <c r="D144" s="209" t="s">
        <v>1048</v>
      </c>
      <c r="E144" s="209" t="s">
        <v>343</v>
      </c>
      <c r="F144" s="209" t="s">
        <v>424</v>
      </c>
      <c r="G144" s="209" t="s">
        <v>467</v>
      </c>
      <c r="H144" s="342">
        <v>186</v>
      </c>
      <c r="I144" s="343">
        <v>858</v>
      </c>
      <c r="J144"/>
      <c r="K144"/>
    </row>
    <row r="145" spans="2:11" ht="12.75" customHeight="1" x14ac:dyDescent="0.25">
      <c r="B145" s="341"/>
      <c r="C145" s="209"/>
      <c r="D145" s="209" t="s">
        <v>1290</v>
      </c>
      <c r="E145" s="209" t="s">
        <v>1287</v>
      </c>
      <c r="F145" s="209" t="s">
        <v>542</v>
      </c>
      <c r="G145" s="209" t="s">
        <v>465</v>
      </c>
      <c r="H145" s="342">
        <v>62</v>
      </c>
      <c r="I145" s="343">
        <v>410</v>
      </c>
      <c r="J145"/>
      <c r="K145"/>
    </row>
    <row r="146" spans="2:11" ht="12.75" customHeight="1" x14ac:dyDescent="0.25">
      <c r="B146" s="341"/>
      <c r="C146" s="209"/>
      <c r="D146" s="209" t="s">
        <v>1301</v>
      </c>
      <c r="E146" s="209" t="s">
        <v>1299</v>
      </c>
      <c r="F146" s="209" t="s">
        <v>424</v>
      </c>
      <c r="G146" s="209" t="s">
        <v>467</v>
      </c>
      <c r="H146" s="342">
        <v>408</v>
      </c>
      <c r="I146" s="343">
        <v>1888</v>
      </c>
      <c r="J146"/>
      <c r="K146"/>
    </row>
    <row r="147" spans="2:11" ht="12.75" customHeight="1" x14ac:dyDescent="0.25">
      <c r="B147" s="341"/>
      <c r="C147" s="209" t="s">
        <v>962</v>
      </c>
      <c r="D147" s="209"/>
      <c r="E147" s="209"/>
      <c r="F147" s="209"/>
      <c r="G147" s="209"/>
      <c r="H147" s="342">
        <v>4781</v>
      </c>
      <c r="I147" s="343">
        <v>24492</v>
      </c>
      <c r="J147"/>
      <c r="K147"/>
    </row>
    <row r="148" spans="2:11" ht="12.75" customHeight="1" x14ac:dyDescent="0.25">
      <c r="B148" s="341"/>
      <c r="C148" s="209" t="s">
        <v>1165</v>
      </c>
      <c r="D148" s="209" t="s">
        <v>1592</v>
      </c>
      <c r="E148" s="209" t="s">
        <v>1608</v>
      </c>
      <c r="F148" s="209" t="s">
        <v>542</v>
      </c>
      <c r="G148" s="209" t="s">
        <v>465</v>
      </c>
      <c r="H148" s="342">
        <v>52</v>
      </c>
      <c r="I148" s="343">
        <v>219</v>
      </c>
      <c r="J148"/>
      <c r="K148"/>
    </row>
    <row r="149" spans="2:11" ht="12.75" customHeight="1" x14ac:dyDescent="0.25">
      <c r="B149" s="341"/>
      <c r="C149" s="209"/>
      <c r="D149" s="209" t="s">
        <v>1593</v>
      </c>
      <c r="E149" s="209" t="s">
        <v>1609</v>
      </c>
      <c r="F149" s="209" t="s">
        <v>542</v>
      </c>
      <c r="G149" s="209" t="s">
        <v>465</v>
      </c>
      <c r="H149" s="342">
        <v>157</v>
      </c>
      <c r="I149" s="343">
        <v>486</v>
      </c>
      <c r="J149"/>
      <c r="K149"/>
    </row>
    <row r="150" spans="2:11" ht="12.75" customHeight="1" x14ac:dyDescent="0.25">
      <c r="B150" s="341"/>
      <c r="C150" s="209"/>
      <c r="D150" s="209" t="s">
        <v>1594</v>
      </c>
      <c r="E150" s="209" t="s">
        <v>1610</v>
      </c>
      <c r="F150" s="209" t="s">
        <v>542</v>
      </c>
      <c r="G150" s="209" t="s">
        <v>465</v>
      </c>
      <c r="H150" s="342">
        <v>36</v>
      </c>
      <c r="I150" s="343">
        <v>137</v>
      </c>
      <c r="J150"/>
      <c r="K150"/>
    </row>
    <row r="151" spans="2:11" ht="12.75" customHeight="1" x14ac:dyDescent="0.25">
      <c r="B151" s="341"/>
      <c r="C151" s="209"/>
      <c r="D151" s="209" t="s">
        <v>1604</v>
      </c>
      <c r="E151" s="209" t="s">
        <v>1607</v>
      </c>
      <c r="F151" s="209" t="s">
        <v>542</v>
      </c>
      <c r="G151" s="209" t="s">
        <v>465</v>
      </c>
      <c r="H151" s="342">
        <v>44</v>
      </c>
      <c r="I151" s="343">
        <v>150</v>
      </c>
      <c r="J151"/>
      <c r="K151"/>
    </row>
    <row r="152" spans="2:11" ht="12.75" customHeight="1" x14ac:dyDescent="0.25">
      <c r="B152" s="341"/>
      <c r="C152" s="209" t="s">
        <v>1596</v>
      </c>
      <c r="D152" s="209"/>
      <c r="E152" s="209"/>
      <c r="F152" s="209"/>
      <c r="G152" s="209"/>
      <c r="H152" s="342">
        <v>289</v>
      </c>
      <c r="I152" s="343">
        <v>992</v>
      </c>
      <c r="J152"/>
      <c r="K152"/>
    </row>
    <row r="153" spans="2:11" ht="12.75" customHeight="1" x14ac:dyDescent="0.25">
      <c r="B153" s="341" t="s">
        <v>781</v>
      </c>
      <c r="C153" s="209"/>
      <c r="D153" s="209"/>
      <c r="E153" s="209"/>
      <c r="F153" s="209"/>
      <c r="G153" s="209"/>
      <c r="H153" s="342">
        <v>17599</v>
      </c>
      <c r="I153" s="343">
        <v>89267</v>
      </c>
      <c r="J153"/>
      <c r="K153"/>
    </row>
    <row r="154" spans="2:11" ht="12.75" customHeight="1" x14ac:dyDescent="0.25">
      <c r="B154" s="341" t="s">
        <v>507</v>
      </c>
      <c r="C154" s="209" t="s">
        <v>720</v>
      </c>
      <c r="D154" s="209" t="s">
        <v>536</v>
      </c>
      <c r="E154" s="209" t="s">
        <v>774</v>
      </c>
      <c r="F154" s="209" t="s">
        <v>542</v>
      </c>
      <c r="G154" s="209" t="s">
        <v>467</v>
      </c>
      <c r="H154" s="342">
        <v>67</v>
      </c>
      <c r="I154" s="343">
        <v>392</v>
      </c>
      <c r="J154"/>
      <c r="K154"/>
    </row>
    <row r="155" spans="2:11" ht="12.75" customHeight="1" x14ac:dyDescent="0.25">
      <c r="B155" s="341"/>
      <c r="C155" s="209"/>
      <c r="D155" s="209" t="s">
        <v>1078</v>
      </c>
      <c r="E155" s="209" t="s">
        <v>1062</v>
      </c>
      <c r="F155" s="209" t="s">
        <v>424</v>
      </c>
      <c r="G155" s="209" t="s">
        <v>465</v>
      </c>
      <c r="H155" s="342">
        <v>33</v>
      </c>
      <c r="I155" s="343">
        <v>174</v>
      </c>
      <c r="J155"/>
      <c r="K155"/>
    </row>
    <row r="156" spans="2:11" ht="12.75" customHeight="1" x14ac:dyDescent="0.25">
      <c r="B156" s="341"/>
      <c r="C156" s="209" t="s">
        <v>1109</v>
      </c>
      <c r="D156" s="209"/>
      <c r="E156" s="209"/>
      <c r="F156" s="209"/>
      <c r="G156" s="209"/>
      <c r="H156" s="342">
        <v>100</v>
      </c>
      <c r="I156" s="343">
        <v>566</v>
      </c>
      <c r="J156"/>
      <c r="K156"/>
    </row>
    <row r="157" spans="2:11" ht="12.75" customHeight="1" x14ac:dyDescent="0.25">
      <c r="B157" s="341"/>
      <c r="C157" s="209" t="s">
        <v>146</v>
      </c>
      <c r="D157" s="209" t="s">
        <v>367</v>
      </c>
      <c r="E157" s="209" t="s">
        <v>381</v>
      </c>
      <c r="F157" s="209" t="s">
        <v>424</v>
      </c>
      <c r="G157" s="209" t="s">
        <v>465</v>
      </c>
      <c r="H157" s="342">
        <v>58</v>
      </c>
      <c r="I157" s="343">
        <v>277</v>
      </c>
      <c r="J157"/>
      <c r="K157"/>
    </row>
    <row r="158" spans="2:11" ht="12.75" customHeight="1" x14ac:dyDescent="0.25">
      <c r="B158" s="341"/>
      <c r="C158" s="209"/>
      <c r="D158" s="209" t="s">
        <v>368</v>
      </c>
      <c r="E158" s="209" t="s">
        <v>382</v>
      </c>
      <c r="F158" s="209" t="s">
        <v>1066</v>
      </c>
      <c r="G158" s="209" t="s">
        <v>465</v>
      </c>
      <c r="H158" s="342">
        <v>29</v>
      </c>
      <c r="I158" s="343">
        <v>138</v>
      </c>
      <c r="J158"/>
      <c r="K158"/>
    </row>
    <row r="159" spans="2:11" ht="12.75" customHeight="1" x14ac:dyDescent="0.25">
      <c r="B159" s="341"/>
      <c r="C159" s="209"/>
      <c r="D159" s="209" t="s">
        <v>366</v>
      </c>
      <c r="E159" s="209" t="s">
        <v>383</v>
      </c>
      <c r="F159" s="209" t="s">
        <v>424</v>
      </c>
      <c r="G159" s="209" t="s">
        <v>465</v>
      </c>
      <c r="H159" s="342">
        <v>68</v>
      </c>
      <c r="I159" s="343">
        <v>310</v>
      </c>
      <c r="J159"/>
      <c r="K159"/>
    </row>
    <row r="160" spans="2:11" ht="12.75" customHeight="1" x14ac:dyDescent="0.25">
      <c r="B160" s="341"/>
      <c r="C160" s="209"/>
      <c r="D160" s="209" t="s">
        <v>369</v>
      </c>
      <c r="E160" s="209" t="s">
        <v>147</v>
      </c>
      <c r="F160" s="209" t="s">
        <v>424</v>
      </c>
      <c r="G160" s="209" t="s">
        <v>465</v>
      </c>
      <c r="H160" s="342">
        <v>46</v>
      </c>
      <c r="I160" s="343">
        <v>254</v>
      </c>
      <c r="J160"/>
      <c r="K160"/>
    </row>
    <row r="161" spans="2:11" ht="12.75" customHeight="1" x14ac:dyDescent="0.25">
      <c r="B161" s="341"/>
      <c r="C161" s="209"/>
      <c r="D161" s="209" t="s">
        <v>149</v>
      </c>
      <c r="E161" s="209" t="s">
        <v>148</v>
      </c>
      <c r="F161" s="209" t="s">
        <v>424</v>
      </c>
      <c r="G161" s="209" t="s">
        <v>465</v>
      </c>
      <c r="H161" s="342">
        <v>57</v>
      </c>
      <c r="I161" s="343">
        <v>262</v>
      </c>
      <c r="J161"/>
      <c r="K161"/>
    </row>
    <row r="162" spans="2:11" ht="12.75" customHeight="1" x14ac:dyDescent="0.25">
      <c r="B162" s="341"/>
      <c r="C162" s="209"/>
      <c r="D162" s="209" t="s">
        <v>371</v>
      </c>
      <c r="E162" s="209" t="s">
        <v>385</v>
      </c>
      <c r="F162" s="209" t="s">
        <v>424</v>
      </c>
      <c r="G162" s="209" t="s">
        <v>465</v>
      </c>
      <c r="H162" s="342">
        <v>187</v>
      </c>
      <c r="I162" s="343">
        <v>971</v>
      </c>
      <c r="J162"/>
      <c r="K162"/>
    </row>
    <row r="163" spans="2:11" ht="12.75" customHeight="1" x14ac:dyDescent="0.25">
      <c r="B163" s="341"/>
      <c r="C163" s="209"/>
      <c r="D163" s="209" t="s">
        <v>951</v>
      </c>
      <c r="E163" s="209" t="s">
        <v>950</v>
      </c>
      <c r="F163" s="209" t="s">
        <v>1066</v>
      </c>
      <c r="G163" s="209" t="s">
        <v>465</v>
      </c>
      <c r="H163" s="342">
        <v>22</v>
      </c>
      <c r="I163" s="343">
        <v>105</v>
      </c>
      <c r="J163"/>
      <c r="K163"/>
    </row>
    <row r="164" spans="2:11" ht="12.75" customHeight="1" x14ac:dyDescent="0.25">
      <c r="B164" s="341"/>
      <c r="C164" s="209"/>
      <c r="D164" s="209" t="s">
        <v>1100</v>
      </c>
      <c r="E164" s="209" t="s">
        <v>1101</v>
      </c>
      <c r="F164" s="209" t="s">
        <v>542</v>
      </c>
      <c r="G164" s="209" t="s">
        <v>465</v>
      </c>
      <c r="H164" s="342">
        <v>105</v>
      </c>
      <c r="I164" s="343">
        <v>568</v>
      </c>
      <c r="J164"/>
      <c r="K164"/>
    </row>
    <row r="165" spans="2:11" ht="12.75" customHeight="1" x14ac:dyDescent="0.25">
      <c r="B165" s="341"/>
      <c r="C165" s="209"/>
      <c r="D165" s="209" t="s">
        <v>1157</v>
      </c>
      <c r="E165" s="209" t="s">
        <v>1149</v>
      </c>
      <c r="F165" s="209" t="s">
        <v>424</v>
      </c>
      <c r="G165" s="209" t="s">
        <v>465</v>
      </c>
      <c r="H165" s="342">
        <v>139</v>
      </c>
      <c r="I165" s="343">
        <v>704</v>
      </c>
      <c r="J165"/>
      <c r="K165"/>
    </row>
    <row r="166" spans="2:11" ht="12.75" customHeight="1" x14ac:dyDescent="0.25">
      <c r="B166" s="341"/>
      <c r="C166" s="209"/>
      <c r="D166" s="209" t="s">
        <v>1160</v>
      </c>
      <c r="E166" s="209" t="s">
        <v>1154</v>
      </c>
      <c r="F166" s="209" t="s">
        <v>542</v>
      </c>
      <c r="G166" s="209" t="s">
        <v>465</v>
      </c>
      <c r="H166" s="342">
        <v>37</v>
      </c>
      <c r="I166" s="343">
        <v>130</v>
      </c>
      <c r="J166"/>
      <c r="K166"/>
    </row>
    <row r="167" spans="2:11" ht="12.75" customHeight="1" x14ac:dyDescent="0.25">
      <c r="B167" s="341"/>
      <c r="C167" s="209"/>
      <c r="D167" s="209" t="s">
        <v>1175</v>
      </c>
      <c r="E167" s="209" t="s">
        <v>1156</v>
      </c>
      <c r="F167" s="209" t="s">
        <v>542</v>
      </c>
      <c r="G167" s="209" t="s">
        <v>465</v>
      </c>
      <c r="H167" s="342">
        <v>30</v>
      </c>
      <c r="I167" s="343">
        <v>170</v>
      </c>
      <c r="J167"/>
      <c r="K167"/>
    </row>
    <row r="168" spans="2:11" ht="12.75" customHeight="1" x14ac:dyDescent="0.25">
      <c r="B168" s="341"/>
      <c r="C168" s="209"/>
      <c r="D168" s="209" t="s">
        <v>1263</v>
      </c>
      <c r="E168" s="209" t="s">
        <v>1262</v>
      </c>
      <c r="F168" s="209" t="s">
        <v>424</v>
      </c>
      <c r="G168" s="209" t="s">
        <v>465</v>
      </c>
      <c r="H168" s="342">
        <v>36</v>
      </c>
      <c r="I168" s="343">
        <v>146</v>
      </c>
      <c r="J168"/>
      <c r="K168"/>
    </row>
    <row r="169" spans="2:11" ht="12.75" customHeight="1" x14ac:dyDescent="0.25">
      <c r="B169" s="341"/>
      <c r="C169" s="209"/>
      <c r="D169" s="209" t="s">
        <v>1273</v>
      </c>
      <c r="E169" s="209" t="s">
        <v>1274</v>
      </c>
      <c r="F169" s="209" t="s">
        <v>542</v>
      </c>
      <c r="G169" s="209" t="s">
        <v>465</v>
      </c>
      <c r="H169" s="342">
        <v>24</v>
      </c>
      <c r="I169" s="343">
        <v>84</v>
      </c>
      <c r="J169"/>
      <c r="K169"/>
    </row>
    <row r="170" spans="2:11" ht="12.75" customHeight="1" x14ac:dyDescent="0.25">
      <c r="B170" s="341"/>
      <c r="C170" s="209"/>
      <c r="D170" s="209" t="s">
        <v>1755</v>
      </c>
      <c r="E170" s="209" t="s">
        <v>789</v>
      </c>
      <c r="F170" s="209" t="s">
        <v>542</v>
      </c>
      <c r="G170" s="209" t="s">
        <v>465</v>
      </c>
      <c r="H170" s="342">
        <v>37</v>
      </c>
      <c r="I170" s="343">
        <v>198</v>
      </c>
      <c r="J170"/>
      <c r="K170"/>
    </row>
    <row r="171" spans="2:11" ht="12.75" customHeight="1" x14ac:dyDescent="0.25">
      <c r="B171" s="341"/>
      <c r="C171" s="209" t="s">
        <v>1004</v>
      </c>
      <c r="D171" s="209"/>
      <c r="E171" s="209"/>
      <c r="F171" s="209"/>
      <c r="G171" s="209"/>
      <c r="H171" s="342">
        <v>875</v>
      </c>
      <c r="I171" s="343">
        <v>4317</v>
      </c>
      <c r="J171"/>
      <c r="K171"/>
    </row>
    <row r="172" spans="2:11" ht="12.75" customHeight="1" x14ac:dyDescent="0.25">
      <c r="B172" s="341"/>
      <c r="C172" s="209" t="s">
        <v>166</v>
      </c>
      <c r="D172" s="209" t="s">
        <v>167</v>
      </c>
      <c r="E172" s="209" t="s">
        <v>165</v>
      </c>
      <c r="F172" s="209" t="s">
        <v>424</v>
      </c>
      <c r="G172" s="209" t="s">
        <v>465</v>
      </c>
      <c r="H172" s="342">
        <v>33</v>
      </c>
      <c r="I172" s="343">
        <v>178</v>
      </c>
      <c r="J172"/>
      <c r="K172"/>
    </row>
    <row r="173" spans="2:11" ht="12.75" customHeight="1" x14ac:dyDescent="0.25">
      <c r="B173" s="341"/>
      <c r="C173" s="209"/>
      <c r="D173" s="209" t="s">
        <v>762</v>
      </c>
      <c r="E173" s="209" t="s">
        <v>763</v>
      </c>
      <c r="F173" s="209" t="s">
        <v>1066</v>
      </c>
      <c r="G173" s="209" t="s">
        <v>465</v>
      </c>
      <c r="H173" s="342">
        <v>29</v>
      </c>
      <c r="I173" s="343">
        <v>168</v>
      </c>
      <c r="J173"/>
      <c r="K173"/>
    </row>
    <row r="174" spans="2:11" ht="12.75" customHeight="1" x14ac:dyDescent="0.25">
      <c r="B174" s="341"/>
      <c r="C174" s="209"/>
      <c r="D174" s="209" t="s">
        <v>1169</v>
      </c>
      <c r="E174" s="209" t="s">
        <v>1151</v>
      </c>
      <c r="F174" s="209" t="s">
        <v>542</v>
      </c>
      <c r="G174" s="209" t="s">
        <v>465</v>
      </c>
      <c r="H174" s="342">
        <v>36</v>
      </c>
      <c r="I174" s="343">
        <v>188</v>
      </c>
      <c r="J174"/>
      <c r="K174"/>
    </row>
    <row r="175" spans="2:11" ht="12.75" customHeight="1" x14ac:dyDescent="0.25">
      <c r="B175" s="341"/>
      <c r="C175" s="209" t="s">
        <v>1110</v>
      </c>
      <c r="D175" s="209"/>
      <c r="E175" s="209"/>
      <c r="F175" s="209"/>
      <c r="G175" s="209"/>
      <c r="H175" s="342">
        <v>98</v>
      </c>
      <c r="I175" s="343">
        <v>534</v>
      </c>
      <c r="J175"/>
      <c r="K175"/>
    </row>
    <row r="176" spans="2:11" ht="12.75" customHeight="1" x14ac:dyDescent="0.25">
      <c r="B176" s="341"/>
      <c r="C176" s="209" t="s">
        <v>230</v>
      </c>
      <c r="D176" s="209" t="s">
        <v>231</v>
      </c>
      <c r="E176" s="209" t="s">
        <v>386</v>
      </c>
      <c r="F176" s="209" t="s">
        <v>542</v>
      </c>
      <c r="G176" s="209" t="s">
        <v>465</v>
      </c>
      <c r="H176" s="342">
        <v>32</v>
      </c>
      <c r="I176" s="343">
        <v>187</v>
      </c>
      <c r="J176"/>
      <c r="K176"/>
    </row>
    <row r="177" spans="2:11" ht="12.75" customHeight="1" x14ac:dyDescent="0.25">
      <c r="B177" s="341"/>
      <c r="C177" s="209"/>
      <c r="D177" s="209" t="s">
        <v>907</v>
      </c>
      <c r="E177" s="209" t="s">
        <v>908</v>
      </c>
      <c r="F177" s="209" t="s">
        <v>424</v>
      </c>
      <c r="G177" s="209" t="s">
        <v>465</v>
      </c>
      <c r="H177" s="342">
        <v>44</v>
      </c>
      <c r="I177" s="343">
        <v>190</v>
      </c>
      <c r="J177"/>
      <c r="K177"/>
    </row>
    <row r="178" spans="2:11" ht="12.75" customHeight="1" x14ac:dyDescent="0.25">
      <c r="B178" s="341"/>
      <c r="C178" s="209"/>
      <c r="D178" s="209" t="s">
        <v>917</v>
      </c>
      <c r="E178" s="209" t="s">
        <v>918</v>
      </c>
      <c r="F178" s="209" t="s">
        <v>1066</v>
      </c>
      <c r="G178" s="209" t="s">
        <v>465</v>
      </c>
      <c r="H178" s="342">
        <v>22</v>
      </c>
      <c r="I178" s="343">
        <v>106</v>
      </c>
      <c r="J178"/>
      <c r="K178"/>
    </row>
    <row r="179" spans="2:11" ht="12.75" customHeight="1" x14ac:dyDescent="0.25">
      <c r="B179" s="341"/>
      <c r="C179" s="209"/>
      <c r="D179" s="209" t="s">
        <v>717</v>
      </c>
      <c r="E179" s="209" t="s">
        <v>1278</v>
      </c>
      <c r="F179" s="209" t="s">
        <v>424</v>
      </c>
      <c r="G179" s="209" t="s">
        <v>465</v>
      </c>
      <c r="H179" s="342">
        <v>154</v>
      </c>
      <c r="I179" s="343">
        <v>778</v>
      </c>
      <c r="J179"/>
      <c r="K179"/>
    </row>
    <row r="180" spans="2:11" ht="12.75" customHeight="1" x14ac:dyDescent="0.25">
      <c r="B180" s="341"/>
      <c r="C180" s="209" t="s">
        <v>1005</v>
      </c>
      <c r="D180" s="209"/>
      <c r="E180" s="209"/>
      <c r="F180" s="209"/>
      <c r="G180" s="209"/>
      <c r="H180" s="342">
        <v>252</v>
      </c>
      <c r="I180" s="343">
        <v>1261</v>
      </c>
      <c r="J180"/>
      <c r="K180"/>
    </row>
    <row r="181" spans="2:11" ht="12.75" customHeight="1" x14ac:dyDescent="0.25">
      <c r="B181" s="341"/>
      <c r="C181" s="209" t="s">
        <v>288</v>
      </c>
      <c r="D181" s="209" t="s">
        <v>291</v>
      </c>
      <c r="E181" s="209" t="s">
        <v>290</v>
      </c>
      <c r="F181" s="209" t="s">
        <v>424</v>
      </c>
      <c r="G181" s="209" t="s">
        <v>465</v>
      </c>
      <c r="H181" s="342">
        <v>75</v>
      </c>
      <c r="I181" s="343">
        <v>394</v>
      </c>
      <c r="J181"/>
      <c r="K181"/>
    </row>
    <row r="182" spans="2:11" ht="12.75" customHeight="1" x14ac:dyDescent="0.25">
      <c r="B182" s="341"/>
      <c r="C182" s="209"/>
      <c r="D182" s="209" t="s">
        <v>289</v>
      </c>
      <c r="E182" s="209" t="s">
        <v>287</v>
      </c>
      <c r="F182" s="209" t="s">
        <v>424</v>
      </c>
      <c r="G182" s="209" t="s">
        <v>465</v>
      </c>
      <c r="H182" s="342">
        <v>66</v>
      </c>
      <c r="I182" s="343">
        <v>350</v>
      </c>
      <c r="J182"/>
      <c r="K182"/>
    </row>
    <row r="183" spans="2:11" ht="12.75" customHeight="1" x14ac:dyDescent="0.25">
      <c r="B183" s="341"/>
      <c r="C183" s="209"/>
      <c r="D183" s="209" t="s">
        <v>372</v>
      </c>
      <c r="E183" s="209" t="s">
        <v>294</v>
      </c>
      <c r="F183" s="209" t="s">
        <v>1066</v>
      </c>
      <c r="G183" s="209" t="s">
        <v>465</v>
      </c>
      <c r="H183" s="342">
        <v>44</v>
      </c>
      <c r="I183" s="343">
        <v>218</v>
      </c>
      <c r="J183"/>
      <c r="K183"/>
    </row>
    <row r="184" spans="2:11" ht="12.75" customHeight="1" x14ac:dyDescent="0.25">
      <c r="B184" s="341"/>
      <c r="C184" s="209"/>
      <c r="D184" s="209" t="s">
        <v>909</v>
      </c>
      <c r="E184" s="209" t="s">
        <v>910</v>
      </c>
      <c r="F184" s="209" t="s">
        <v>424</v>
      </c>
      <c r="G184" s="209" t="s">
        <v>465</v>
      </c>
      <c r="H184" s="342">
        <v>35</v>
      </c>
      <c r="I184" s="343">
        <v>177</v>
      </c>
      <c r="J184"/>
      <c r="K184"/>
    </row>
    <row r="185" spans="2:11" ht="12.75" customHeight="1" x14ac:dyDescent="0.25">
      <c r="B185" s="341"/>
      <c r="C185" s="209"/>
      <c r="D185" s="209" t="s">
        <v>921</v>
      </c>
      <c r="E185" s="209" t="s">
        <v>914</v>
      </c>
      <c r="F185" s="209" t="s">
        <v>424</v>
      </c>
      <c r="G185" s="209" t="s">
        <v>465</v>
      </c>
      <c r="H185" s="342">
        <v>117</v>
      </c>
      <c r="I185" s="343">
        <v>545</v>
      </c>
      <c r="J185"/>
      <c r="K185"/>
    </row>
    <row r="186" spans="2:11" ht="12.75" customHeight="1" x14ac:dyDescent="0.25">
      <c r="B186" s="341"/>
      <c r="C186" s="209"/>
      <c r="D186" s="209" t="s">
        <v>1159</v>
      </c>
      <c r="E186" s="209" t="s">
        <v>1153</v>
      </c>
      <c r="F186" s="209" t="s">
        <v>542</v>
      </c>
      <c r="G186" s="209" t="s">
        <v>465</v>
      </c>
      <c r="H186" s="342">
        <v>61</v>
      </c>
      <c r="I186" s="343">
        <v>276</v>
      </c>
      <c r="J186"/>
      <c r="K186"/>
    </row>
    <row r="187" spans="2:11" ht="12.75" customHeight="1" x14ac:dyDescent="0.25">
      <c r="B187" s="341"/>
      <c r="C187" s="209" t="s">
        <v>1006</v>
      </c>
      <c r="D187" s="209"/>
      <c r="E187" s="209"/>
      <c r="F187" s="209"/>
      <c r="G187" s="209"/>
      <c r="H187" s="342">
        <v>398</v>
      </c>
      <c r="I187" s="343">
        <v>1960</v>
      </c>
      <c r="J187"/>
      <c r="K187"/>
    </row>
    <row r="188" spans="2:11" ht="12.75" customHeight="1" x14ac:dyDescent="0.25">
      <c r="B188" s="341"/>
      <c r="C188" s="209" t="s">
        <v>297</v>
      </c>
      <c r="D188" s="209" t="s">
        <v>761</v>
      </c>
      <c r="E188" s="209" t="s">
        <v>296</v>
      </c>
      <c r="F188" s="209" t="s">
        <v>424</v>
      </c>
      <c r="G188" s="209" t="s">
        <v>465</v>
      </c>
      <c r="H188" s="342">
        <v>45</v>
      </c>
      <c r="I188" s="343">
        <v>195</v>
      </c>
      <c r="J188"/>
      <c r="K188"/>
    </row>
    <row r="189" spans="2:11" ht="12.75" customHeight="1" x14ac:dyDescent="0.25">
      <c r="B189" s="341"/>
      <c r="C189" s="209"/>
      <c r="D189" s="209" t="s">
        <v>1166</v>
      </c>
      <c r="E189" s="209" t="s">
        <v>1150</v>
      </c>
      <c r="F189" s="209" t="s">
        <v>542</v>
      </c>
      <c r="G189" s="209" t="s">
        <v>465</v>
      </c>
      <c r="H189" s="342">
        <v>19</v>
      </c>
      <c r="I189" s="343">
        <v>82</v>
      </c>
      <c r="J189"/>
      <c r="K189"/>
    </row>
    <row r="190" spans="2:11" ht="12.75" customHeight="1" x14ac:dyDescent="0.25">
      <c r="B190" s="341"/>
      <c r="C190" s="209"/>
      <c r="D190" s="209" t="s">
        <v>1221</v>
      </c>
      <c r="E190" s="209" t="s">
        <v>1203</v>
      </c>
      <c r="F190" s="209" t="s">
        <v>1066</v>
      </c>
      <c r="G190" s="209" t="s">
        <v>465</v>
      </c>
      <c r="H190" s="342">
        <v>25</v>
      </c>
      <c r="I190" s="343">
        <v>123</v>
      </c>
      <c r="J190"/>
      <c r="K190"/>
    </row>
    <row r="191" spans="2:11" ht="12.75" customHeight="1" x14ac:dyDescent="0.25">
      <c r="B191" s="341"/>
      <c r="C191" s="209"/>
      <c r="D191" s="209" t="s">
        <v>1425</v>
      </c>
      <c r="E191" s="209" t="s">
        <v>1424</v>
      </c>
      <c r="F191" s="209" t="s">
        <v>1066</v>
      </c>
      <c r="G191" s="209" t="s">
        <v>465</v>
      </c>
      <c r="H191" s="342">
        <v>59</v>
      </c>
      <c r="I191" s="343">
        <v>250</v>
      </c>
      <c r="J191"/>
      <c r="K191"/>
    </row>
    <row r="192" spans="2:11" ht="12.75" customHeight="1" x14ac:dyDescent="0.25">
      <c r="B192" s="341"/>
      <c r="C192" s="209" t="s">
        <v>1111</v>
      </c>
      <c r="D192" s="209"/>
      <c r="E192" s="209"/>
      <c r="F192" s="209"/>
      <c r="G192" s="209"/>
      <c r="H192" s="342">
        <v>148</v>
      </c>
      <c r="I192" s="343">
        <v>650</v>
      </c>
      <c r="J192"/>
      <c r="K192"/>
    </row>
    <row r="193" spans="2:11" ht="12.75" customHeight="1" x14ac:dyDescent="0.25">
      <c r="B193" s="341"/>
      <c r="C193" s="209" t="s">
        <v>1230</v>
      </c>
      <c r="D193" s="209" t="s">
        <v>1227</v>
      </c>
      <c r="E193" s="209" t="s">
        <v>1215</v>
      </c>
      <c r="F193" s="209" t="s">
        <v>542</v>
      </c>
      <c r="G193" s="209" t="s">
        <v>465</v>
      </c>
      <c r="H193" s="342">
        <v>37</v>
      </c>
      <c r="I193" s="343">
        <v>120</v>
      </c>
      <c r="J193"/>
      <c r="K193"/>
    </row>
    <row r="194" spans="2:11" x14ac:dyDescent="0.25">
      <c r="B194" s="341"/>
      <c r="C194" s="209" t="s">
        <v>1248</v>
      </c>
      <c r="D194" s="209"/>
      <c r="E194" s="209"/>
      <c r="F194" s="209"/>
      <c r="G194" s="209"/>
      <c r="H194" s="342">
        <v>37</v>
      </c>
      <c r="I194" s="343">
        <v>120</v>
      </c>
      <c r="J194"/>
      <c r="K194"/>
    </row>
    <row r="195" spans="2:11" x14ac:dyDescent="0.25">
      <c r="B195" s="341" t="s">
        <v>1007</v>
      </c>
      <c r="C195" s="209"/>
      <c r="D195" s="209"/>
      <c r="E195" s="209"/>
      <c r="F195" s="209"/>
      <c r="G195" s="209"/>
      <c r="H195" s="342">
        <v>1908</v>
      </c>
      <c r="I195" s="343">
        <v>9408</v>
      </c>
      <c r="J195"/>
      <c r="K195"/>
    </row>
    <row r="196" spans="2:11" x14ac:dyDescent="0.25">
      <c r="B196" s="344" t="s">
        <v>411</v>
      </c>
      <c r="C196" s="345"/>
      <c r="D196" s="345"/>
      <c r="E196" s="345"/>
      <c r="F196" s="345"/>
      <c r="G196" s="345"/>
      <c r="H196" s="346">
        <v>19507</v>
      </c>
      <c r="I196" s="347">
        <v>98675</v>
      </c>
      <c r="J196"/>
      <c r="K196"/>
    </row>
    <row r="197" spans="2:11" x14ac:dyDescent="0.25">
      <c r="B197"/>
      <c r="C197"/>
      <c r="D197"/>
      <c r="E197"/>
      <c r="F197"/>
      <c r="G197"/>
      <c r="H197"/>
      <c r="I197"/>
      <c r="J197"/>
      <c r="K197"/>
    </row>
    <row r="198" spans="2:11" x14ac:dyDescent="0.25">
      <c r="B198"/>
      <c r="C198"/>
      <c r="D198"/>
      <c r="E198"/>
      <c r="F198"/>
      <c r="G198"/>
      <c r="H198"/>
      <c r="I198"/>
      <c r="J198"/>
      <c r="K198"/>
    </row>
    <row r="199" spans="2:11" x14ac:dyDescent="0.25">
      <c r="B199"/>
      <c r="C199"/>
      <c r="D199"/>
      <c r="E199"/>
      <c r="F199"/>
      <c r="G199"/>
      <c r="H199"/>
      <c r="I199"/>
      <c r="J199"/>
      <c r="K199"/>
    </row>
    <row r="200" spans="2:11" ht="12.75" customHeight="1" x14ac:dyDescent="0.25">
      <c r="B200"/>
      <c r="C200"/>
      <c r="D200"/>
      <c r="E200"/>
      <c r="F200"/>
      <c r="G200"/>
      <c r="H200"/>
      <c r="I200"/>
      <c r="J200"/>
      <c r="K200"/>
    </row>
    <row r="201" spans="2:11" ht="12.75" customHeight="1" x14ac:dyDescent="0.25">
      <c r="B201"/>
      <c r="C201"/>
      <c r="D201"/>
      <c r="E201"/>
      <c r="F201"/>
      <c r="G201"/>
      <c r="H201"/>
      <c r="I201"/>
      <c r="J201"/>
      <c r="K201"/>
    </row>
    <row r="202" spans="2:11" ht="12.75" customHeight="1" x14ac:dyDescent="0.25">
      <c r="B202"/>
      <c r="C202"/>
      <c r="D202"/>
      <c r="E202"/>
      <c r="F202"/>
      <c r="G202"/>
      <c r="H202"/>
      <c r="I202"/>
      <c r="J202"/>
      <c r="K202"/>
    </row>
    <row r="203" spans="2:11" ht="12.75" customHeight="1" x14ac:dyDescent="0.25">
      <c r="B203"/>
      <c r="C203"/>
      <c r="D203"/>
      <c r="E203"/>
      <c r="F203"/>
      <c r="G203"/>
      <c r="H203"/>
      <c r="I203"/>
      <c r="J203"/>
      <c r="K203"/>
    </row>
    <row r="204" spans="2:11" ht="12.75" customHeight="1" x14ac:dyDescent="0.25">
      <c r="B204"/>
      <c r="C204"/>
      <c r="D204"/>
      <c r="E204"/>
      <c r="F204"/>
      <c r="G204"/>
      <c r="H204"/>
      <c r="I204"/>
      <c r="J204"/>
      <c r="K204"/>
    </row>
    <row r="205" spans="2:11" ht="12.75" customHeight="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219"/>
      <c r="I226" s="219"/>
    </row>
    <row r="227" spans="2:11" x14ac:dyDescent="0.25">
      <c r="H227" s="219"/>
      <c r="I227" s="219"/>
    </row>
    <row r="228" spans="2:11" x14ac:dyDescent="0.25">
      <c r="H228" s="219"/>
      <c r="I228" s="219"/>
    </row>
    <row r="229" spans="2:11" x14ac:dyDescent="0.25">
      <c r="H229" s="219"/>
      <c r="I229" s="219"/>
    </row>
    <row r="230" spans="2:11" x14ac:dyDescent="0.25">
      <c r="H230" s="219"/>
      <c r="I230" s="219"/>
    </row>
    <row r="231" spans="2:11" x14ac:dyDescent="0.25">
      <c r="H231" s="219"/>
      <c r="I231" s="219"/>
    </row>
    <row r="232" spans="2:11" x14ac:dyDescent="0.25">
      <c r="H232" s="219"/>
      <c r="I232" s="219"/>
    </row>
    <row r="233" spans="2:11" x14ac:dyDescent="0.25">
      <c r="H233" s="219"/>
      <c r="I233" s="219"/>
    </row>
    <row r="234" spans="2:11" x14ac:dyDescent="0.25">
      <c r="H234" s="219"/>
      <c r="I234" s="219"/>
    </row>
    <row r="235" spans="2:11" x14ac:dyDescent="0.25">
      <c r="H235" s="219"/>
      <c r="I235" s="219"/>
    </row>
    <row r="236" spans="2:11" x14ac:dyDescent="0.25">
      <c r="H236" s="219"/>
      <c r="I236" s="219"/>
    </row>
    <row r="237" spans="2:11" x14ac:dyDescent="0.25">
      <c r="H237" s="219"/>
      <c r="I237" s="219"/>
    </row>
    <row r="238" spans="2:11" x14ac:dyDescent="0.25">
      <c r="H238" s="219"/>
      <c r="I238" s="219"/>
    </row>
    <row r="239" spans="2:11" x14ac:dyDescent="0.25">
      <c r="H239" s="219"/>
      <c r="I239" s="219"/>
    </row>
    <row r="240" spans="2:11" x14ac:dyDescent="0.25">
      <c r="H240" s="219"/>
      <c r="I240" s="219"/>
    </row>
    <row r="241" spans="8:9" x14ac:dyDescent="0.25">
      <c r="H241" s="219"/>
      <c r="I241" s="219"/>
    </row>
    <row r="242" spans="8:9" x14ac:dyDescent="0.25">
      <c r="H242" s="219"/>
      <c r="I242" s="219"/>
    </row>
    <row r="243" spans="8:9" x14ac:dyDescent="0.25">
      <c r="H243" s="219"/>
      <c r="I243" s="219"/>
    </row>
    <row r="244" spans="8:9" x14ac:dyDescent="0.25">
      <c r="H244" s="219"/>
      <c r="I244" s="219"/>
    </row>
    <row r="245" spans="8:9" x14ac:dyDescent="0.25">
      <c r="H245" s="219"/>
      <c r="I245" s="219"/>
    </row>
    <row r="246" spans="8:9" x14ac:dyDescent="0.25">
      <c r="H246" s="219"/>
      <c r="I246" s="219"/>
    </row>
    <row r="247" spans="8:9" x14ac:dyDescent="0.25">
      <c r="H247" s="219"/>
      <c r="I247" s="219"/>
    </row>
    <row r="248" spans="8:9" x14ac:dyDescent="0.25">
      <c r="H248" s="219"/>
      <c r="I248" s="219"/>
    </row>
    <row r="249" spans="8:9" x14ac:dyDescent="0.25">
      <c r="H249" s="219"/>
      <c r="I249" s="219"/>
    </row>
    <row r="250" spans="8:9" x14ac:dyDescent="0.25">
      <c r="H250" s="219"/>
      <c r="I250" s="219"/>
    </row>
    <row r="251" spans="8:9" x14ac:dyDescent="0.25">
      <c r="H251" s="219"/>
      <c r="I251" s="219"/>
    </row>
    <row r="252" spans="8:9" x14ac:dyDescent="0.25">
      <c r="H252" s="219"/>
      <c r="I252" s="219"/>
    </row>
    <row r="253" spans="8:9" x14ac:dyDescent="0.25">
      <c r="H253" s="219"/>
      <c r="I253" s="219"/>
    </row>
    <row r="254" spans="8:9" x14ac:dyDescent="0.25">
      <c r="H254" s="219"/>
      <c r="I254" s="219"/>
    </row>
    <row r="255" spans="8:9" x14ac:dyDescent="0.25">
      <c r="H255" s="219"/>
      <c r="I255" s="219"/>
    </row>
    <row r="256" spans="8:9" x14ac:dyDescent="0.25">
      <c r="H256" s="219"/>
      <c r="I256" s="219"/>
    </row>
    <row r="257" spans="8:9" x14ac:dyDescent="0.25">
      <c r="H257" s="219"/>
      <c r="I257" s="219"/>
    </row>
    <row r="258" spans="8:9" x14ac:dyDescent="0.25">
      <c r="H258" s="219"/>
      <c r="I258" s="219"/>
    </row>
    <row r="259" spans="8:9" x14ac:dyDescent="0.25">
      <c r="H259" s="219"/>
      <c r="I259" s="219"/>
    </row>
    <row r="260" spans="8:9" x14ac:dyDescent="0.25">
      <c r="H260" s="219"/>
      <c r="I260" s="219"/>
    </row>
    <row r="261" spans="8:9" x14ac:dyDescent="0.25">
      <c r="H261" s="219"/>
      <c r="I261" s="219"/>
    </row>
    <row r="262" spans="8:9" x14ac:dyDescent="0.25">
      <c r="H262" s="219"/>
      <c r="I262" s="219"/>
    </row>
    <row r="263" spans="8:9" x14ac:dyDescent="0.25">
      <c r="H263" s="219"/>
      <c r="I263" s="219"/>
    </row>
    <row r="264" spans="8:9" x14ac:dyDescent="0.25">
      <c r="H264" s="219"/>
      <c r="I264" s="219"/>
    </row>
    <row r="265" spans="8:9" x14ac:dyDescent="0.25">
      <c r="H265" s="219"/>
      <c r="I265" s="219"/>
    </row>
    <row r="266" spans="8:9" x14ac:dyDescent="0.25">
      <c r="H266" s="219"/>
      <c r="I266" s="219"/>
    </row>
    <row r="267" spans="8:9" x14ac:dyDescent="0.25">
      <c r="H267" s="219"/>
      <c r="I267" s="219"/>
    </row>
    <row r="268" spans="8:9" x14ac:dyDescent="0.25">
      <c r="H268" s="219"/>
      <c r="I268" s="219"/>
    </row>
    <row r="269" spans="8:9" x14ac:dyDescent="0.25">
      <c r="H269" s="219"/>
      <c r="I269" s="219"/>
    </row>
    <row r="270" spans="8:9" x14ac:dyDescent="0.25">
      <c r="H270" s="219"/>
      <c r="I270" s="219"/>
    </row>
    <row r="271" spans="8:9" x14ac:dyDescent="0.25">
      <c r="H271" s="219"/>
      <c r="I271" s="219"/>
    </row>
    <row r="272" spans="8:9" x14ac:dyDescent="0.25">
      <c r="H272" s="219"/>
      <c r="I272" s="219"/>
    </row>
    <row r="273" spans="8:9" x14ac:dyDescent="0.25">
      <c r="H273" s="219"/>
      <c r="I273" s="219"/>
    </row>
    <row r="274" spans="8:9" x14ac:dyDescent="0.25">
      <c r="H274" s="219"/>
      <c r="I274" s="219"/>
    </row>
    <row r="275" spans="8:9" x14ac:dyDescent="0.25">
      <c r="H275" s="219"/>
      <c r="I275" s="219"/>
    </row>
    <row r="276" spans="8:9" x14ac:dyDescent="0.25">
      <c r="H276" s="219"/>
      <c r="I276" s="219"/>
    </row>
    <row r="277" spans="8:9" x14ac:dyDescent="0.25">
      <c r="H277" s="219"/>
      <c r="I277" s="219"/>
    </row>
    <row r="278" spans="8:9" x14ac:dyDescent="0.25">
      <c r="H278" s="219"/>
      <c r="I278" s="219"/>
    </row>
    <row r="279" spans="8:9" x14ac:dyDescent="0.25">
      <c r="H279" s="219"/>
      <c r="I279" s="219"/>
    </row>
    <row r="280" spans="8:9" x14ac:dyDescent="0.25">
      <c r="H280" s="219"/>
      <c r="I280" s="219"/>
    </row>
    <row r="281" spans="8:9" x14ac:dyDescent="0.25">
      <c r="H281" s="219"/>
      <c r="I281" s="219"/>
    </row>
    <row r="282" spans="8:9" x14ac:dyDescent="0.25">
      <c r="H282" s="219"/>
      <c r="I282" s="219"/>
    </row>
    <row r="283" spans="8:9" x14ac:dyDescent="0.25">
      <c r="H283" s="219"/>
      <c r="I283" s="219"/>
    </row>
    <row r="284" spans="8:9" x14ac:dyDescent="0.25">
      <c r="H284" s="219"/>
      <c r="I284" s="219"/>
    </row>
    <row r="285" spans="8:9" x14ac:dyDescent="0.25">
      <c r="H285" s="219"/>
      <c r="I285" s="219"/>
    </row>
    <row r="286" spans="8:9" x14ac:dyDescent="0.25">
      <c r="H286" s="219"/>
      <c r="I286" s="219"/>
    </row>
    <row r="287" spans="8:9" x14ac:dyDescent="0.25">
      <c r="H287" s="219"/>
      <c r="I287" s="219"/>
    </row>
    <row r="288" spans="8:9" x14ac:dyDescent="0.25">
      <c r="H288" s="219"/>
      <c r="I288" s="219"/>
    </row>
    <row r="289" spans="8:9" x14ac:dyDescent="0.25">
      <c r="H289" s="219"/>
      <c r="I289" s="219"/>
    </row>
    <row r="290" spans="8:9" x14ac:dyDescent="0.25">
      <c r="H290" s="219"/>
      <c r="I290" s="219"/>
    </row>
    <row r="291" spans="8:9" x14ac:dyDescent="0.25">
      <c r="H291" s="219"/>
      <c r="I291" s="219"/>
    </row>
    <row r="292" spans="8:9" x14ac:dyDescent="0.25">
      <c r="H292" s="219"/>
      <c r="I292" s="219"/>
    </row>
    <row r="293" spans="8:9" x14ac:dyDescent="0.25">
      <c r="H293" s="219"/>
      <c r="I293" s="219"/>
    </row>
    <row r="294" spans="8:9" x14ac:dyDescent="0.25">
      <c r="H294" s="219"/>
      <c r="I294" s="219"/>
    </row>
    <row r="295" spans="8:9" x14ac:dyDescent="0.25">
      <c r="H295" s="219"/>
      <c r="I295" s="219"/>
    </row>
    <row r="296" spans="8:9" x14ac:dyDescent="0.25">
      <c r="H296" s="219"/>
      <c r="I296" s="219"/>
    </row>
    <row r="297" spans="8:9" x14ac:dyDescent="0.25">
      <c r="H297" s="219"/>
      <c r="I297" s="219"/>
    </row>
    <row r="298" spans="8:9" x14ac:dyDescent="0.25">
      <c r="H298" s="219"/>
      <c r="I298" s="219"/>
    </row>
    <row r="299" spans="8:9" x14ac:dyDescent="0.25">
      <c r="H299" s="219"/>
      <c r="I299" s="219"/>
    </row>
    <row r="300" spans="8:9" x14ac:dyDescent="0.25">
      <c r="H300" s="219"/>
      <c r="I300" s="219"/>
    </row>
    <row r="301" spans="8:9" x14ac:dyDescent="0.25">
      <c r="H301" s="219"/>
      <c r="I301" s="219"/>
    </row>
    <row r="302" spans="8:9" x14ac:dyDescent="0.25">
      <c r="H302" s="219"/>
      <c r="I302" s="219"/>
    </row>
    <row r="303" spans="8:9" x14ac:dyDescent="0.25">
      <c r="H303" s="219"/>
      <c r="I303" s="219"/>
    </row>
    <row r="304" spans="8:9" x14ac:dyDescent="0.25">
      <c r="H304" s="219"/>
      <c r="I304" s="219"/>
    </row>
    <row r="305" spans="8:9" x14ac:dyDescent="0.25">
      <c r="H305" s="219"/>
      <c r="I305" s="219"/>
    </row>
    <row r="306" spans="8:9" x14ac:dyDescent="0.25">
      <c r="H306" s="219"/>
      <c r="I306" s="219"/>
    </row>
    <row r="307" spans="8:9" x14ac:dyDescent="0.25">
      <c r="H307" s="219"/>
      <c r="I307" s="219"/>
    </row>
    <row r="308" spans="8:9" x14ac:dyDescent="0.25">
      <c r="H308" s="219"/>
      <c r="I308" s="219"/>
    </row>
    <row r="309" spans="8:9" x14ac:dyDescent="0.25">
      <c r="H309" s="219"/>
      <c r="I309" s="219"/>
    </row>
    <row r="310" spans="8:9" x14ac:dyDescent="0.25">
      <c r="H310" s="219"/>
      <c r="I310" s="219"/>
    </row>
    <row r="311" spans="8:9" x14ac:dyDescent="0.25">
      <c r="H311" s="219"/>
      <c r="I311" s="219"/>
    </row>
    <row r="312" spans="8:9" x14ac:dyDescent="0.25">
      <c r="H312" s="219"/>
      <c r="I312" s="219"/>
    </row>
    <row r="313" spans="8:9" x14ac:dyDescent="0.25">
      <c r="H313" s="219"/>
      <c r="I313" s="219"/>
    </row>
    <row r="314" spans="8:9" x14ac:dyDescent="0.25">
      <c r="H314" s="219"/>
      <c r="I314" s="219"/>
    </row>
    <row r="315" spans="8:9" x14ac:dyDescent="0.25">
      <c r="H315" s="219"/>
      <c r="I315" s="219"/>
    </row>
    <row r="316" spans="8:9" x14ac:dyDescent="0.25">
      <c r="H316" s="219"/>
      <c r="I316" s="219"/>
    </row>
    <row r="317" spans="8:9" x14ac:dyDescent="0.25">
      <c r="H317" s="219"/>
      <c r="I317" s="219"/>
    </row>
    <row r="318" spans="8:9" x14ac:dyDescent="0.25">
      <c r="H318" s="219"/>
      <c r="I318" s="219"/>
    </row>
    <row r="319" spans="8:9" x14ac:dyDescent="0.25">
      <c r="H319" s="219"/>
      <c r="I319" s="219"/>
    </row>
    <row r="320" spans="8:9" x14ac:dyDescent="0.25">
      <c r="H320" s="219"/>
      <c r="I320" s="219"/>
    </row>
    <row r="321" spans="8:9" x14ac:dyDescent="0.25">
      <c r="H321" s="219"/>
      <c r="I321" s="219"/>
    </row>
    <row r="322" spans="8:9" x14ac:dyDescent="0.25">
      <c r="H322" s="219"/>
      <c r="I322" s="219"/>
    </row>
    <row r="323" spans="8:9" x14ac:dyDescent="0.25">
      <c r="H323" s="219"/>
      <c r="I323" s="219"/>
    </row>
    <row r="324" spans="8:9" x14ac:dyDescent="0.25">
      <c r="H324" s="219"/>
      <c r="I324" s="219"/>
    </row>
    <row r="325" spans="8:9" x14ac:dyDescent="0.25">
      <c r="H325" s="219"/>
      <c r="I325" s="219"/>
    </row>
    <row r="326" spans="8:9" x14ac:dyDescent="0.25">
      <c r="H326" s="219"/>
      <c r="I326" s="219"/>
    </row>
    <row r="327" spans="8:9" x14ac:dyDescent="0.25">
      <c r="H327" s="219"/>
      <c r="I327" s="219"/>
    </row>
    <row r="328" spans="8:9" x14ac:dyDescent="0.25">
      <c r="H328" s="219"/>
      <c r="I328" s="219"/>
    </row>
    <row r="329" spans="8:9" x14ac:dyDescent="0.25">
      <c r="H329" s="219"/>
      <c r="I329" s="219"/>
    </row>
    <row r="330" spans="8:9" x14ac:dyDescent="0.25">
      <c r="H330" s="219"/>
      <c r="I330" s="219"/>
    </row>
    <row r="331" spans="8:9" x14ac:dyDescent="0.25">
      <c r="H331" s="219"/>
      <c r="I331" s="219"/>
    </row>
    <row r="332" spans="8:9" x14ac:dyDescent="0.25">
      <c r="H332" s="219"/>
      <c r="I332" s="219"/>
    </row>
    <row r="333" spans="8:9" x14ac:dyDescent="0.25">
      <c r="H333" s="219"/>
      <c r="I333" s="219"/>
    </row>
    <row r="334" spans="8:9" x14ac:dyDescent="0.25">
      <c r="H334" s="219"/>
      <c r="I334" s="219"/>
    </row>
    <row r="335" spans="8:9" x14ac:dyDescent="0.25">
      <c r="H335" s="219"/>
      <c r="I335" s="219"/>
    </row>
    <row r="336" spans="8:9" x14ac:dyDescent="0.25">
      <c r="H336" s="219"/>
      <c r="I336" s="219"/>
    </row>
    <row r="337" spans="8:9" x14ac:dyDescent="0.25">
      <c r="H337" s="219"/>
      <c r="I337" s="219"/>
    </row>
    <row r="338" spans="8:9" x14ac:dyDescent="0.25">
      <c r="H338" s="219"/>
      <c r="I338" s="219"/>
    </row>
    <row r="339" spans="8:9" x14ac:dyDescent="0.25">
      <c r="H339" s="219"/>
      <c r="I339" s="219"/>
    </row>
    <row r="340" spans="8:9" x14ac:dyDescent="0.25">
      <c r="H340" s="219"/>
      <c r="I340" s="219"/>
    </row>
    <row r="341" spans="8:9" x14ac:dyDescent="0.25">
      <c r="H341" s="219"/>
      <c r="I341" s="219"/>
    </row>
    <row r="342" spans="8:9" x14ac:dyDescent="0.25">
      <c r="H342" s="219"/>
      <c r="I342" s="219"/>
    </row>
    <row r="343" spans="8:9" x14ac:dyDescent="0.25">
      <c r="H343" s="219"/>
      <c r="I343" s="219"/>
    </row>
    <row r="344" spans="8:9" x14ac:dyDescent="0.25">
      <c r="H344" s="219"/>
      <c r="I344" s="219"/>
    </row>
    <row r="345" spans="8:9" x14ac:dyDescent="0.25">
      <c r="H345" s="219"/>
      <c r="I345" s="219"/>
    </row>
    <row r="346" spans="8:9" x14ac:dyDescent="0.25">
      <c r="H346" s="219"/>
      <c r="I346" s="219"/>
    </row>
    <row r="347" spans="8:9" x14ac:dyDescent="0.25">
      <c r="H347" s="219"/>
      <c r="I347" s="219"/>
    </row>
    <row r="348" spans="8:9" x14ac:dyDescent="0.25">
      <c r="H348" s="219"/>
      <c r="I348" s="219"/>
    </row>
    <row r="349" spans="8:9" x14ac:dyDescent="0.25">
      <c r="H349" s="219"/>
      <c r="I349" s="219"/>
    </row>
    <row r="350" spans="8:9" x14ac:dyDescent="0.25">
      <c r="H350" s="219"/>
      <c r="I350" s="219"/>
    </row>
    <row r="351" spans="8:9" x14ac:dyDescent="0.25">
      <c r="H351" s="219"/>
      <c r="I351" s="219"/>
    </row>
    <row r="352" spans="8:9" x14ac:dyDescent="0.25">
      <c r="H352" s="219"/>
      <c r="I352" s="219"/>
    </row>
    <row r="353" spans="8:9" x14ac:dyDescent="0.25">
      <c r="H353" s="219"/>
      <c r="I353" s="219"/>
    </row>
    <row r="354" spans="8:9" x14ac:dyDescent="0.25">
      <c r="H354" s="219"/>
      <c r="I354" s="219"/>
    </row>
    <row r="355" spans="8:9" x14ac:dyDescent="0.25">
      <c r="H355" s="219"/>
      <c r="I355" s="219"/>
    </row>
    <row r="356" spans="8:9" x14ac:dyDescent="0.25">
      <c r="H356" s="219"/>
      <c r="I356" s="219"/>
    </row>
    <row r="357" spans="8:9" x14ac:dyDescent="0.25">
      <c r="H357" s="219"/>
      <c r="I357" s="219"/>
    </row>
    <row r="358" spans="8:9" x14ac:dyDescent="0.25">
      <c r="H358" s="219"/>
      <c r="I358" s="219"/>
    </row>
    <row r="359" spans="8:9" x14ac:dyDescent="0.25">
      <c r="H359" s="219"/>
      <c r="I359" s="219"/>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p i v o t c u s t o m i z a t i o n / T a b l e O r d e r " > < C u s t o m C o n t e n t > < ! [ C D A T A [ ] ] > < / C u s t o m C o n t e n t > < / G e m i n i > 
</file>

<file path=customXml/item2.xml>��< ? x m l   v e r s i o n = " 1 . 0 "   e n c o d i n g = " U T F - 1 6 " ? > < G e m i n i   x m l n s = " h t t p : / / g e m i n i / p i v o t c u s t o m i z a t i o n / C l i e n t W i n d o w X M L " > < C u s t o m C o n t e n t > < ! [ C D A T A [ T a b l e _ C a m p L i s t ] ] > < / C u s t o m C o n t e n t > < / G e m i n i > 
</file>

<file path=customXml/item3.xml>��< ? x m l   v e r s i o n = " 1 . 0 "   e n c o d i n g = " U T F - 1 6 " ? > < G e m i n i   x m l n s = " h t t p : / / g e m i n i / p i v o t c u s t o m i z a t i o n / T a b l e C o u n t I n S a n d b o x " > < C u s t o m C o n t e n t > < ! [ C D A T A [ 2 ] ] > < / C u s t o m C o n t e n t > < / G e m i n i > 
</file>

<file path=customXml/item4.xml>��< ? x m l   v e r s i o n = " 1 . 0 "   e n c o d i n g = " U T F - 1 6 " ? > < G e m i n i   x m l n s = " h t t p : / / g e m i n i / w o r k b o o k c u s t o m i z a t i o n / S a n d b o x N o n E m p t y " > < C u s t o m C o n t e n t > < ! [ C D A T A [ 1 ] ] > < / 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w o r k b o o k c u s t o m i z a t i o n / R e l a t i o n s h i p A u t o D e t e c t i o n E n a b l e d " > < C u s t o m C o n t e n t > < ! [ C D A T A [ T r u e ] ] > < / C u s t o m C o n t e n t > < / G e m i n i > 
</file>

<file path=customXml/item8.xml>��< ? x m l   v e r s i o n = " 1 . 0 "   e n c o d i n g = " U T F - 1 6 " ? > < G e m i n i   x m l n s = " h t t p : / / g e m i n i / p i v o t c u s t o m i z a t i o n / M a n u a l C a l c M o d e " > < C u s t o m C o n t e n t > < ! [ C D A T A [ F a l s e ] ] > < / C u s t o m C o n t e n t > < / G e m i n i > 
</file>

<file path=customXml/item9.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Props1.xml><?xml version="1.0" encoding="utf-8"?>
<ds:datastoreItem xmlns:ds="http://schemas.openxmlformats.org/officeDocument/2006/customXml" ds:itemID="{29F038A7-53D4-43C9-BA81-F04FA320B26C}">
  <ds:schemaRefs/>
</ds:datastoreItem>
</file>

<file path=customXml/itemProps10.xml><?xml version="1.0" encoding="utf-8"?>
<ds:datastoreItem xmlns:ds="http://schemas.openxmlformats.org/officeDocument/2006/customXml" ds:itemID="{56F54182-A2E7-46D3-9B50-3EE12C2ED11C}">
  <ds:schemaRefs/>
</ds:datastoreItem>
</file>

<file path=customXml/itemProps11.xml><?xml version="1.0" encoding="utf-8"?>
<ds:datastoreItem xmlns:ds="http://schemas.openxmlformats.org/officeDocument/2006/customXml" ds:itemID="{69B4A3EE-0A3F-4462-99AB-FF7F45263C2E}">
  <ds:schemaRefs/>
</ds:datastoreItem>
</file>

<file path=customXml/itemProps2.xml><?xml version="1.0" encoding="utf-8"?>
<ds:datastoreItem xmlns:ds="http://schemas.openxmlformats.org/officeDocument/2006/customXml" ds:itemID="{813269B1-46E6-446B-AAFD-6C3C2E019447}">
  <ds:schemaRefs/>
</ds:datastoreItem>
</file>

<file path=customXml/itemProps3.xml><?xml version="1.0" encoding="utf-8"?>
<ds:datastoreItem xmlns:ds="http://schemas.openxmlformats.org/officeDocument/2006/customXml" ds:itemID="{DB9160EE-0167-41E4-AC28-973692AB29DA}">
  <ds:schemaRefs/>
</ds:datastoreItem>
</file>

<file path=customXml/itemProps4.xml><?xml version="1.0" encoding="utf-8"?>
<ds:datastoreItem xmlns:ds="http://schemas.openxmlformats.org/officeDocument/2006/customXml" ds:itemID="{D50E7055-9622-4A96-82B8-EBACB5B39629}">
  <ds:schemaRefs/>
</ds:datastoreItem>
</file>

<file path=customXml/itemProps5.xml><?xml version="1.0" encoding="utf-8"?>
<ds:datastoreItem xmlns:ds="http://schemas.openxmlformats.org/officeDocument/2006/customXml" ds:itemID="{54F841B6-B55C-4835-A603-634668231C4E}">
  <ds:schemaRefs/>
</ds:datastoreItem>
</file>

<file path=customXml/itemProps6.xml><?xml version="1.0" encoding="utf-8"?>
<ds:datastoreItem xmlns:ds="http://schemas.openxmlformats.org/officeDocument/2006/customXml" ds:itemID="{3957C5D7-EFF0-44A3-9298-445924399827}">
  <ds:schemaRefs/>
</ds:datastoreItem>
</file>

<file path=customXml/itemProps7.xml><?xml version="1.0" encoding="utf-8"?>
<ds:datastoreItem xmlns:ds="http://schemas.openxmlformats.org/officeDocument/2006/customXml" ds:itemID="{C2BE83A5-448A-4B18-BB34-D729CAA9F86F}">
  <ds:schemaRefs/>
</ds:datastoreItem>
</file>

<file path=customXml/itemProps8.xml><?xml version="1.0" encoding="utf-8"?>
<ds:datastoreItem xmlns:ds="http://schemas.openxmlformats.org/officeDocument/2006/customXml" ds:itemID="{EFDD4649-07B9-495C-8FFA-CE327D4258B8}">
  <ds:schemaRefs/>
</ds:datastoreItem>
</file>

<file path=customXml/itemProps9.xml><?xml version="1.0" encoding="utf-8"?>
<ds:datastoreItem xmlns:ds="http://schemas.openxmlformats.org/officeDocument/2006/customXml" ds:itemID="{21F44420-13F1-4F50-9105-F761EFC3AF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2017-10-13T09:29:28Z</cp:lastPrinted>
  <dcterms:created xsi:type="dcterms:W3CDTF">2013-03-18T02:36:38Z</dcterms:created>
  <dcterms:modified xsi:type="dcterms:W3CDTF">2017-10-13T09:29:42Z</dcterms:modified>
</cp:coreProperties>
</file>